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arquivos\CCONT\05 - Demonstrações Contábeis\Balanços Publicados e Alteração Estatuto\Publicação do Balanço\Site Emap\Exercício 2024\"/>
    </mc:Choice>
  </mc:AlternateContent>
  <xr:revisionPtr revIDLastSave="0" documentId="13_ncr:1_{C7F95513-39F8-4D89-933A-11A6D64FE6AF}" xr6:coauthVersionLast="47" xr6:coauthVersionMax="47" xr10:uidLastSave="{00000000-0000-0000-0000-000000000000}"/>
  <bookViews>
    <workbookView xWindow="-120" yWindow="-120" windowWidth="29040" windowHeight="15720" activeTab="2" xr2:uid="{ADB354A9-FE33-4F1F-88F4-89CE9592258B}"/>
  </bookViews>
  <sheets>
    <sheet name="BP" sheetId="1" r:id="rId1"/>
    <sheet name="DRE " sheetId="2" r:id="rId2"/>
    <sheet name="DMPL" sheetId="3" r:id="rId3"/>
  </sheets>
  <definedNames>
    <definedName name="__123Graph_A" localSheetId="0" hidden="1">#REF!</definedName>
    <definedName name="__123Graph_A" localSheetId="2" hidden="1">#REF!</definedName>
    <definedName name="__123Graph_A" localSheetId="1" hidden="1">#REF!</definedName>
    <definedName name="__123Graph_A" hidden="1">#REF!</definedName>
    <definedName name="__123Graph_ACOMPARA" localSheetId="0" hidden="1">#REF!</definedName>
    <definedName name="__123Graph_ACOMPARA" localSheetId="2" hidden="1">#REF!</definedName>
    <definedName name="__123Graph_ACOMPARA" localSheetId="1" hidden="1">#REF!</definedName>
    <definedName name="__123Graph_ACOMPARA" hidden="1">#REF!</definedName>
    <definedName name="__123Graph_ACONSMED" localSheetId="0" hidden="1">#REF!</definedName>
    <definedName name="__123Graph_ACONSMED" localSheetId="2" hidden="1">#REF!</definedName>
    <definedName name="__123Graph_ACONSMED" localSheetId="1" hidden="1">#REF!</definedName>
    <definedName name="__123Graph_ACONSMED" hidden="1">#REF!</definedName>
    <definedName name="__123Graph_APREVROUT" localSheetId="0" hidden="1">#REF!</definedName>
    <definedName name="__123Graph_APREVROUT" localSheetId="2" hidden="1">#REF!</definedName>
    <definedName name="__123Graph_APREVROUT" localSheetId="1" hidden="1">#REF!</definedName>
    <definedName name="__123Graph_APREVROUT" hidden="1">#REF!</definedName>
    <definedName name="__123Graph_DPREVREALI" localSheetId="0" hidden="1">#REF!</definedName>
    <definedName name="__123Graph_DPREVREALI" localSheetId="2" hidden="1">#REF!</definedName>
    <definedName name="__123Graph_DPREVREALI" localSheetId="1" hidden="1">#REF!</definedName>
    <definedName name="__123Graph_DPREVREALI" hidden="1">#REF!</definedName>
    <definedName name="__123Graph_XCONSMED" localSheetId="0" hidden="1">#REF!</definedName>
    <definedName name="__123Graph_XCONSMED" localSheetId="2" hidden="1">#REF!</definedName>
    <definedName name="__123Graph_XCONSMED" localSheetId="1" hidden="1">#REF!</definedName>
    <definedName name="__123Graph_XCONSMED" hidden="1">#REF!</definedName>
    <definedName name="__123Graph_XELASTIC" localSheetId="0" hidden="1">#REF!</definedName>
    <definedName name="__123Graph_XELASTIC" localSheetId="2" hidden="1">#REF!</definedName>
    <definedName name="__123Graph_XELASTIC" localSheetId="1" hidden="1">#REF!</definedName>
    <definedName name="__123Graph_XELASTIC" hidden="1">#REF!</definedName>
    <definedName name="__123Graph_XPREVRCOM" localSheetId="0" hidden="1">#REF!</definedName>
    <definedName name="__123Graph_XPREVRCOM" localSheetId="2" hidden="1">#REF!</definedName>
    <definedName name="__123Graph_XPREVRCOM" localSheetId="1" hidden="1">#REF!</definedName>
    <definedName name="__123Graph_XPREVRCOM" hidden="1">#REF!</definedName>
    <definedName name="__123Graph_XPREVREALI" localSheetId="0" hidden="1">#REF!</definedName>
    <definedName name="__123Graph_XPREVREALI" localSheetId="2" hidden="1">#REF!</definedName>
    <definedName name="__123Graph_XPREVREALI" localSheetId="1" hidden="1">#REF!</definedName>
    <definedName name="__123Graph_XPREVREALI" hidden="1">#REF!</definedName>
    <definedName name="__123Graph_XPREVRIND" localSheetId="0" hidden="1">#REF!</definedName>
    <definedName name="__123Graph_XPREVRIND" localSheetId="2" hidden="1">#REF!</definedName>
    <definedName name="__123Graph_XPREVRIND" localSheetId="1" hidden="1">#REF!</definedName>
    <definedName name="__123Graph_XPREVRIND" hidden="1">#REF!</definedName>
    <definedName name="__123Graph_XPREVROUT" localSheetId="0" hidden="1">#REF!</definedName>
    <definedName name="__123Graph_XPREVROUT" localSheetId="2" hidden="1">#REF!</definedName>
    <definedName name="__123Graph_XPREVROUT" localSheetId="1" hidden="1">#REF!</definedName>
    <definedName name="__123Graph_XPREVROUT" hidden="1">#REF!</definedName>
    <definedName name="__123Graph_XPREVRRES" localSheetId="0" hidden="1">#REF!</definedName>
    <definedName name="__123Graph_XPREVRRES" localSheetId="2" hidden="1">#REF!</definedName>
    <definedName name="__123Graph_XPREVRRES" localSheetId="1" hidden="1">#REF!</definedName>
    <definedName name="__123Graph_XPREVRRES" hidden="1">#REF!</definedName>
    <definedName name="__123Graph_XPREVRTOT" localSheetId="0" hidden="1">#REF!</definedName>
    <definedName name="__123Graph_XPREVRTOT" localSheetId="2" hidden="1">#REF!</definedName>
    <definedName name="__123Graph_XPREVRTOT" localSheetId="1" hidden="1">#REF!</definedName>
    <definedName name="__123Graph_XPREVRTOT" hidden="1">#REF!</definedName>
    <definedName name="__R">#N/A</definedName>
    <definedName name="_xlnm._FilterDatabase" localSheetId="0" hidden="1">#REF!</definedName>
    <definedName name="_R">#N/A</definedName>
    <definedName name="aaaa" localSheetId="0">#REF!</definedName>
    <definedName name="aaaa" localSheetId="2">#REF!</definedName>
    <definedName name="aaaa" localSheetId="1">#REF!</definedName>
    <definedName name="aaaa">#REF!</definedName>
    <definedName name="AJUSTES">#N/A</definedName>
    <definedName name="_xlnm.Print_Area" localSheetId="0">BP!$H$1:$Z$42</definedName>
    <definedName name="_xlnm.Print_Area" localSheetId="2">DMPL!$C$1:$O$38</definedName>
    <definedName name="_xlnm.Print_Area" localSheetId="1">'DRE '!$D$1:$Q$63</definedName>
    <definedName name="Balancete" localSheetId="0">#REF!</definedName>
    <definedName name="Balancete" localSheetId="2">#REF!</definedName>
    <definedName name="Balancete" localSheetId="1">#REF!</definedName>
    <definedName name="Balancete">#REF!</definedName>
    <definedName name="BalanceteBase" localSheetId="2">#REF!</definedName>
    <definedName name="CHEQUELIST">#N/A</definedName>
    <definedName name="ClientName">#REF!</definedName>
    <definedName name="EndFSPeriod">#REF!</definedName>
    <definedName name="FolderItemNumber">#REF!</definedName>
    <definedName name="FolderItemTitle">#REF!</definedName>
    <definedName name="gir" localSheetId="0" hidden="1">#REF!</definedName>
    <definedName name="gir" localSheetId="2" hidden="1">#REF!</definedName>
    <definedName name="gir" localSheetId="1" hidden="1">#REF!</definedName>
    <definedName name="gir" hidden="1">#REF!</definedName>
    <definedName name="IND" localSheetId="0">#REF!</definedName>
    <definedName name="IND" localSheetId="2">#REF!</definedName>
    <definedName name="IND" localSheetId="1">#REF!</definedName>
    <definedName name="IND">#REF!</definedName>
    <definedName name="j" localSheetId="2" hidden="1">#REF!</definedName>
    <definedName name="j" hidden="1">#REF!</definedName>
    <definedName name="jmimiu" localSheetId="0" hidden="1">#REF!</definedName>
    <definedName name="jmimiu" localSheetId="2" hidden="1">#REF!</definedName>
    <definedName name="jmimiu" localSheetId="1" hidden="1">#REF!</definedName>
    <definedName name="jmimiu" hidden="1">#REF!</definedName>
    <definedName name="MODULOS">#N/A</definedName>
    <definedName name="nada">#REF!</definedName>
    <definedName name="NOAG" localSheetId="0">#REF!</definedName>
    <definedName name="NOAG" localSheetId="2">#REF!</definedName>
    <definedName name="NOAG" localSheetId="1">#REF!</definedName>
    <definedName name="NOAG">#REF!</definedName>
    <definedName name="NUAG" localSheetId="0">#REF!</definedName>
    <definedName name="NUAG" localSheetId="2">#REF!</definedName>
    <definedName name="NUAG" localSheetId="1">#REF!</definedName>
    <definedName name="NUAG">#REF!</definedName>
    <definedName name="OLE_LINK1" localSheetId="0">BP!#REF!</definedName>
    <definedName name="PRN">#N/A</definedName>
    <definedName name="s">#REF!</definedName>
    <definedName name="ss">#REF!</definedName>
    <definedName name="Z_8350AA1D_C4C4_45D6_932B_C98759B6F108_.wvu.PrintArea" localSheetId="0" hidden="1">BP!$H$3:$Q$40</definedName>
    <definedName name="Z_8350AA1D_C4C4_45D6_932B_C98759B6F108_.wvu.PrintArea" localSheetId="1" hidden="1">'DRE '!$D$3:$F$67</definedName>
    <definedName name="Z_AC8438C4_38BB_421A_9D7F_356DB1A9B5AC_.wvu.PrintArea" localSheetId="0" hidden="1">BP!$H$1:$V$40</definedName>
    <definedName name="Z_AC8438C4_38BB_421A_9D7F_356DB1A9B5AC_.wvu.PrintArea" localSheetId="2" hidden="1">DMPL!$C$3:$O$9</definedName>
    <definedName name="Z_AC8438C4_38BB_421A_9D7F_356DB1A9B5AC_.wvu.PrintArea" localSheetId="1" hidden="1">'DRE '!$D$1:$G$64</definedName>
    <definedName name="Z_BAC06728_F008_44EB_A25E_4BD43BD8A945_.wvu.PrintArea" localSheetId="0" hidden="1">BP!$H$3:$Q$40</definedName>
    <definedName name="Z_BAC06728_F008_44EB_A25E_4BD43BD8A945_.wvu.PrintArea" localSheetId="1" hidden="1">'DRE '!$D$3:$F$67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3" l="1"/>
  <c r="J35" i="3"/>
  <c r="H35" i="3"/>
  <c r="F35" i="3"/>
  <c r="E35" i="3"/>
  <c r="O32" i="3"/>
  <c r="M32" i="3"/>
  <c r="I32" i="3"/>
  <c r="M28" i="3"/>
  <c r="K28" i="3"/>
  <c r="I28" i="3"/>
  <c r="I35" i="3" s="1"/>
  <c r="G28" i="3"/>
  <c r="E28" i="3"/>
  <c r="O26" i="3"/>
  <c r="K26" i="3"/>
  <c r="B26" i="3"/>
  <c r="I25" i="3"/>
  <c r="O25" i="3" s="1"/>
  <c r="G24" i="3"/>
  <c r="O24" i="3" s="1"/>
  <c r="O23" i="3"/>
  <c r="O21" i="3"/>
  <c r="O28" i="3" s="1"/>
  <c r="M19" i="3"/>
  <c r="O19" i="3" s="1"/>
  <c r="K19" i="3"/>
  <c r="M18" i="3"/>
  <c r="I18" i="3"/>
  <c r="O18" i="3" s="1"/>
  <c r="M17" i="3"/>
  <c r="G17" i="3"/>
  <c r="O17" i="3" s="1"/>
  <c r="O16" i="3"/>
  <c r="O15" i="3"/>
  <c r="O14" i="3"/>
  <c r="O13" i="3"/>
  <c r="O12" i="3"/>
  <c r="G10" i="3"/>
  <c r="E10" i="3"/>
  <c r="C60" i="2"/>
  <c r="C58" i="2"/>
  <c r="C44" i="2"/>
  <c r="C32" i="2"/>
  <c r="C16" i="2"/>
  <c r="C11" i="2"/>
  <c r="C17" i="2" s="1"/>
  <c r="B11" i="2"/>
  <c r="B60" i="1"/>
  <c r="B59" i="1"/>
  <c r="B58" i="1"/>
  <c r="D38" i="1"/>
  <c r="B37" i="1"/>
  <c r="F35" i="1"/>
  <c r="D34" i="1"/>
  <c r="D32" i="1"/>
  <c r="B31" i="1"/>
  <c r="B26" i="1"/>
  <c r="D25" i="1"/>
  <c r="C25" i="1"/>
  <c r="D21" i="1"/>
  <c r="B21" i="1"/>
  <c r="E19" i="1"/>
  <c r="D18" i="1"/>
  <c r="G16" i="1"/>
  <c r="D16" i="1"/>
  <c r="B13" i="1"/>
  <c r="D12" i="1"/>
  <c r="C12" i="1"/>
  <c r="E11" i="1"/>
  <c r="G9" i="1"/>
  <c r="C9" i="1"/>
  <c r="F9" i="1"/>
  <c r="F16" i="1" s="1"/>
  <c r="E9" i="1"/>
  <c r="D9" i="1"/>
  <c r="D24" i="1" s="1"/>
  <c r="B9" i="1"/>
  <c r="B25" i="1" s="1"/>
  <c r="E35" i="1" l="1"/>
  <c r="E16" i="1"/>
  <c r="E36" i="1"/>
  <c r="E29" i="1"/>
  <c r="E28" i="1"/>
  <c r="E15" i="1"/>
  <c r="E32" i="1"/>
  <c r="E40" i="1"/>
  <c r="E39" i="1"/>
  <c r="E33" i="1"/>
  <c r="E30" i="1"/>
  <c r="E27" i="1"/>
  <c r="E23" i="1"/>
  <c r="E20" i="1"/>
  <c r="E14" i="1"/>
  <c r="E34" i="1"/>
  <c r="E18" i="1"/>
  <c r="E37" i="1"/>
  <c r="E31" i="1"/>
  <c r="E26" i="1"/>
  <c r="E13" i="1"/>
  <c r="E12" i="1"/>
  <c r="E60" i="1"/>
  <c r="E59" i="1"/>
  <c r="E58" i="1"/>
  <c r="E21" i="1"/>
  <c r="E38" i="1"/>
  <c r="E25" i="1"/>
  <c r="E22" i="1"/>
  <c r="E24" i="1"/>
  <c r="C38" i="1"/>
  <c r="C34" i="1"/>
  <c r="C32" i="1"/>
  <c r="C58" i="1"/>
  <c r="C24" i="1"/>
  <c r="C22" i="1"/>
  <c r="C19" i="1"/>
  <c r="C17" i="1"/>
  <c r="C11" i="1"/>
  <c r="C60" i="1"/>
  <c r="C35" i="1"/>
  <c r="C16" i="1"/>
  <c r="C36" i="1"/>
  <c r="C29" i="1"/>
  <c r="C28" i="1"/>
  <c r="C15" i="1"/>
  <c r="C13" i="1"/>
  <c r="C40" i="1"/>
  <c r="C39" i="1"/>
  <c r="C33" i="1"/>
  <c r="C30" i="1"/>
  <c r="C21" i="1"/>
  <c r="C27" i="1"/>
  <c r="C23" i="1"/>
  <c r="C20" i="1"/>
  <c r="C14" i="1"/>
  <c r="C59" i="1"/>
  <c r="C37" i="1"/>
  <c r="C31" i="1"/>
  <c r="C26" i="1"/>
  <c r="B60" i="2"/>
  <c r="B58" i="2"/>
  <c r="B44" i="2"/>
  <c r="B32" i="2"/>
  <c r="B86" i="2"/>
  <c r="B17" i="2"/>
  <c r="B81" i="2"/>
  <c r="B62" i="2"/>
  <c r="B59" i="2"/>
  <c r="B45" i="2"/>
  <c r="B33" i="2"/>
  <c r="B18" i="2"/>
  <c r="B82" i="2"/>
  <c r="B50" i="2"/>
  <c r="B48" i="2"/>
  <c r="B46" i="2"/>
  <c r="B40" i="2"/>
  <c r="B38" i="2"/>
  <c r="B36" i="2"/>
  <c r="B34" i="2"/>
  <c r="B29" i="2"/>
  <c r="B27" i="2"/>
  <c r="B25" i="2"/>
  <c r="B23" i="2"/>
  <c r="B21" i="2"/>
  <c r="B19" i="2"/>
  <c r="B57" i="2"/>
  <c r="B83" i="2"/>
  <c r="B55" i="2"/>
  <c r="B53" i="2"/>
  <c r="B51" i="2"/>
  <c r="B49" i="2"/>
  <c r="B47" i="2"/>
  <c r="B41" i="2"/>
  <c r="B39" i="2"/>
  <c r="B37" i="2"/>
  <c r="B35" i="2"/>
  <c r="B30" i="2"/>
  <c r="B28" i="2"/>
  <c r="B26" i="2"/>
  <c r="B24" i="2"/>
  <c r="B22" i="2"/>
  <c r="B20" i="2"/>
  <c r="B56" i="2"/>
  <c r="B54" i="2"/>
  <c r="B52" i="2"/>
  <c r="B42" i="2"/>
  <c r="B43" i="2"/>
  <c r="B31" i="2"/>
  <c r="B15" i="2"/>
  <c r="E17" i="1"/>
  <c r="G36" i="1"/>
  <c r="G29" i="1"/>
  <c r="G28" i="1"/>
  <c r="G15" i="1"/>
  <c r="G35" i="1"/>
  <c r="G40" i="1"/>
  <c r="G39" i="1"/>
  <c r="G33" i="1"/>
  <c r="G30" i="1"/>
  <c r="G27" i="1"/>
  <c r="G23" i="1"/>
  <c r="G20" i="1"/>
  <c r="G14" i="1"/>
  <c r="G37" i="1"/>
  <c r="G31" i="1"/>
  <c r="G26" i="1"/>
  <c r="G13" i="1"/>
  <c r="G60" i="1"/>
  <c r="G59" i="1"/>
  <c r="G58" i="1"/>
  <c r="G21" i="1"/>
  <c r="G25" i="1"/>
  <c r="Z30" i="1" s="1"/>
  <c r="G18" i="1"/>
  <c r="G12" i="1"/>
  <c r="G17" i="1"/>
  <c r="G38" i="1"/>
  <c r="G34" i="1"/>
  <c r="G32" i="1"/>
  <c r="G19" i="1"/>
  <c r="G11" i="1"/>
  <c r="G24" i="1"/>
  <c r="G22" i="1"/>
  <c r="C18" i="1"/>
  <c r="B16" i="2"/>
  <c r="F17" i="1"/>
  <c r="F19" i="1"/>
  <c r="F24" i="1"/>
  <c r="F32" i="1"/>
  <c r="F34" i="1"/>
  <c r="F38" i="1"/>
  <c r="D58" i="1"/>
  <c r="D59" i="1"/>
  <c r="D60" i="1"/>
  <c r="C43" i="2"/>
  <c r="C57" i="2"/>
  <c r="C82" i="2"/>
  <c r="C86" i="2"/>
  <c r="F22" i="1"/>
  <c r="F12" i="1"/>
  <c r="D13" i="1"/>
  <c r="B14" i="1"/>
  <c r="F18" i="1"/>
  <c r="B20" i="1"/>
  <c r="B23" i="1"/>
  <c r="F25" i="1"/>
  <c r="D26" i="1"/>
  <c r="B27" i="1"/>
  <c r="D31" i="1"/>
  <c r="D37" i="1"/>
  <c r="C15" i="2"/>
  <c r="C31" i="2"/>
  <c r="F21" i="1"/>
  <c r="B30" i="1"/>
  <c r="B33" i="1"/>
  <c r="B39" i="1"/>
  <c r="B40" i="1"/>
  <c r="F58" i="1"/>
  <c r="F59" i="1"/>
  <c r="F60" i="1"/>
  <c r="C42" i="2"/>
  <c r="C52" i="2"/>
  <c r="C54" i="2"/>
  <c r="C56" i="2"/>
  <c r="F13" i="1"/>
  <c r="D14" i="1"/>
  <c r="B15" i="1"/>
  <c r="D20" i="1"/>
  <c r="D23" i="1"/>
  <c r="F26" i="1"/>
  <c r="D27" i="1"/>
  <c r="B28" i="1"/>
  <c r="F31" i="1"/>
  <c r="F37" i="1"/>
  <c r="C20" i="2"/>
  <c r="C22" i="2"/>
  <c r="C24" i="2"/>
  <c r="C26" i="2"/>
  <c r="C28" i="2"/>
  <c r="C30" i="2"/>
  <c r="B29" i="1"/>
  <c r="D30" i="1"/>
  <c r="D33" i="1"/>
  <c r="B36" i="1"/>
  <c r="D39" i="1"/>
  <c r="D40" i="1"/>
  <c r="C35" i="2"/>
  <c r="C37" i="2"/>
  <c r="C39" i="2"/>
  <c r="C41" i="2"/>
  <c r="C47" i="2"/>
  <c r="C49" i="2"/>
  <c r="C51" i="2"/>
  <c r="C53" i="2"/>
  <c r="C55" i="2"/>
  <c r="C83" i="2"/>
  <c r="F14" i="1"/>
  <c r="D15" i="1"/>
  <c r="B16" i="1"/>
  <c r="F20" i="1"/>
  <c r="F23" i="1"/>
  <c r="F27" i="1"/>
  <c r="D28" i="1"/>
  <c r="C19" i="2"/>
  <c r="C21" i="2"/>
  <c r="C23" i="2"/>
  <c r="C25" i="2"/>
  <c r="C27" i="2"/>
  <c r="C29" i="2"/>
  <c r="D29" i="1"/>
  <c r="F30" i="1"/>
  <c r="F33" i="1"/>
  <c r="B35" i="1"/>
  <c r="D36" i="1"/>
  <c r="F39" i="1"/>
  <c r="F40" i="1"/>
  <c r="C34" i="2"/>
  <c r="C36" i="2"/>
  <c r="C38" i="2"/>
  <c r="C40" i="2"/>
  <c r="C46" i="2"/>
  <c r="C48" i="2"/>
  <c r="C50" i="2"/>
  <c r="F11" i="1"/>
  <c r="B19" i="1"/>
  <c r="B22" i="1"/>
  <c r="B24" i="1"/>
  <c r="F28" i="1"/>
  <c r="C18" i="2"/>
  <c r="B11" i="1"/>
  <c r="B17" i="1"/>
  <c r="F29" i="1"/>
  <c r="B32" i="1"/>
  <c r="B34" i="1"/>
  <c r="D35" i="1"/>
  <c r="F36" i="1"/>
  <c r="X37" i="1" s="1"/>
  <c r="B38" i="1"/>
  <c r="C33" i="2"/>
  <c r="C45" i="2"/>
  <c r="C59" i="2"/>
  <c r="C62" i="2"/>
  <c r="C81" i="2"/>
  <c r="F15" i="1"/>
  <c r="D11" i="1"/>
  <c r="B12" i="1"/>
  <c r="D17" i="1"/>
  <c r="B18" i="1"/>
  <c r="D19" i="1"/>
  <c r="D22" i="1"/>
  <c r="X20" i="1" l="1"/>
  <c r="P31" i="1"/>
  <c r="S17" i="2"/>
  <c r="U17" i="2" s="1"/>
  <c r="K17" i="2"/>
  <c r="M17" i="2" s="1"/>
  <c r="L21" i="1"/>
  <c r="I21" i="2"/>
  <c r="Q21" i="2"/>
  <c r="S46" i="2"/>
  <c r="U46" i="2" s="1"/>
  <c r="K46" i="2"/>
  <c r="M46" i="2" s="1"/>
  <c r="S32" i="2"/>
  <c r="U32" i="2" s="1"/>
  <c r="K32" i="2"/>
  <c r="M32" i="2" s="1"/>
  <c r="V30" i="1"/>
  <c r="P21" i="1"/>
  <c r="K57" i="2"/>
  <c r="M57" i="2" s="1"/>
  <c r="K44" i="2"/>
  <c r="M44" i="2" s="1"/>
  <c r="S44" i="2"/>
  <c r="U44" i="2" s="1"/>
  <c r="N21" i="1"/>
  <c r="Z20" i="1"/>
  <c r="K30" i="2"/>
  <c r="M30" i="2" s="1"/>
  <c r="S19" i="2"/>
  <c r="S58" i="2"/>
  <c r="U58" i="2" s="1"/>
  <c r="K58" i="2"/>
  <c r="M58" i="2" s="1"/>
  <c r="S31" i="2"/>
  <c r="U31" i="2" s="1"/>
  <c r="K31" i="2"/>
  <c r="M31" i="2" s="1"/>
  <c r="V37" i="1"/>
  <c r="X30" i="1"/>
  <c r="X39" i="1" s="1"/>
  <c r="K42" i="2"/>
  <c r="M42" i="2" s="1"/>
  <c r="K33" i="2"/>
  <c r="M33" i="2" s="1"/>
  <c r="N31" i="1"/>
  <c r="L31" i="1"/>
  <c r="S41" i="2"/>
  <c r="U41" i="2" s="1"/>
  <c r="K41" i="2"/>
  <c r="M41" i="2" s="1"/>
  <c r="K45" i="2"/>
  <c r="M45" i="2" s="1"/>
  <c r="S16" i="2"/>
  <c r="U16" i="2" s="1"/>
  <c r="K16" i="2"/>
  <c r="M16" i="2" s="1"/>
  <c r="V20" i="1"/>
  <c r="K34" i="2"/>
  <c r="M34" i="2" s="1"/>
  <c r="S34" i="2"/>
  <c r="U34" i="2" s="1"/>
  <c r="S23" i="2" l="1"/>
  <c r="O21" i="2"/>
  <c r="Z37" i="1"/>
  <c r="Q48" i="2"/>
  <c r="Q13" i="2"/>
  <c r="Q25" i="2" s="1"/>
  <c r="S33" i="2"/>
  <c r="U33" i="2" s="1"/>
  <c r="K23" i="2"/>
  <c r="M23" i="2" s="1"/>
  <c r="G21" i="2"/>
  <c r="K21" i="2" s="1"/>
  <c r="M21" i="2" s="1"/>
  <c r="I48" i="2"/>
  <c r="K43" i="2"/>
  <c r="M43" i="2" s="1"/>
  <c r="Q38" i="2"/>
  <c r="K40" i="2"/>
  <c r="G38" i="2"/>
  <c r="S43" i="2"/>
  <c r="U43" i="2" s="1"/>
  <c r="O48" i="2"/>
  <c r="S48" i="2" s="1"/>
  <c r="U48" i="2" s="1"/>
  <c r="S50" i="2"/>
  <c r="U50" i="2" s="1"/>
  <c r="I38" i="2"/>
  <c r="O38" i="2"/>
  <c r="S40" i="2"/>
  <c r="K29" i="2"/>
  <c r="M29" i="2" s="1"/>
  <c r="G27" i="2"/>
  <c r="S29" i="2"/>
  <c r="O27" i="2"/>
  <c r="S42" i="2"/>
  <c r="U42" i="2" s="1"/>
  <c r="K50" i="2"/>
  <c r="M50" i="2" s="1"/>
  <c r="G48" i="2"/>
  <c r="K48" i="2" s="1"/>
  <c r="M48" i="2" s="1"/>
  <c r="N39" i="1"/>
  <c r="I55" i="2"/>
  <c r="P39" i="1"/>
  <c r="Q55" i="2"/>
  <c r="U19" i="2"/>
  <c r="K19" i="2"/>
  <c r="M19" i="2" s="1"/>
  <c r="S45" i="2"/>
  <c r="U45" i="2" s="1"/>
  <c r="V39" i="1"/>
  <c r="Q27" i="2"/>
  <c r="K51" i="2"/>
  <c r="M51" i="2" s="1"/>
  <c r="S30" i="2"/>
  <c r="U30" i="2" s="1"/>
  <c r="S57" i="2"/>
  <c r="U57" i="2" s="1"/>
  <c r="I27" i="2"/>
  <c r="S51" i="2"/>
  <c r="U51" i="2" s="1"/>
  <c r="U18" i="2"/>
  <c r="K15" i="2"/>
  <c r="G13" i="2"/>
  <c r="G25" i="2" s="1"/>
  <c r="G36" i="2" s="1"/>
  <c r="L39" i="1"/>
  <c r="K56" i="2"/>
  <c r="G55" i="2"/>
  <c r="S18" i="2"/>
  <c r="S15" i="2"/>
  <c r="O13" i="2"/>
  <c r="O25" i="2" s="1"/>
  <c r="O36" i="2" s="1"/>
  <c r="S56" i="2"/>
  <c r="O55" i="2"/>
  <c r="K18" i="2"/>
  <c r="M18" i="2" s="1"/>
  <c r="I13" i="2"/>
  <c r="I25" i="2" s="1"/>
  <c r="I36" i="2" s="1"/>
  <c r="S55" i="2" l="1"/>
  <c r="U55" i="2" s="1"/>
  <c r="U56" i="2"/>
  <c r="Q36" i="2"/>
  <c r="K36" i="2"/>
  <c r="M36" i="2" s="1"/>
  <c r="G53" i="2"/>
  <c r="K38" i="2"/>
  <c r="M38" i="2" s="1"/>
  <c r="M40" i="2"/>
  <c r="U29" i="2"/>
  <c r="S27" i="2"/>
  <c r="U27" i="2" s="1"/>
  <c r="Z39" i="1"/>
  <c r="U15" i="2"/>
  <c r="S13" i="2"/>
  <c r="K27" i="2"/>
  <c r="M27" i="2" s="1"/>
  <c r="O53" i="2"/>
  <c r="S36" i="2"/>
  <c r="U36" i="2" s="1"/>
  <c r="U23" i="2"/>
  <c r="S21" i="2"/>
  <c r="U21" i="2" s="1"/>
  <c r="I53" i="2"/>
  <c r="I60" i="2" s="1"/>
  <c r="U40" i="2"/>
  <c r="S38" i="2"/>
  <c r="U38" i="2" s="1"/>
  <c r="K55" i="2"/>
  <c r="M55" i="2" s="1"/>
  <c r="M56" i="2"/>
  <c r="K13" i="2"/>
  <c r="M15" i="2"/>
  <c r="K25" i="2" l="1"/>
  <c r="M25" i="2" s="1"/>
  <c r="M13" i="2"/>
  <c r="O60" i="2"/>
  <c r="K53" i="2"/>
  <c r="M53" i="2" s="1"/>
  <c r="G60" i="2"/>
  <c r="Q53" i="2"/>
  <c r="Q60" i="2" s="1"/>
  <c r="U13" i="2"/>
  <c r="S25" i="2"/>
  <c r="U25" i="2" s="1"/>
  <c r="S60" i="2" l="1"/>
  <c r="U60" i="2" s="1"/>
  <c r="M30" i="3"/>
  <c r="K60" i="2"/>
  <c r="M60" i="2" s="1"/>
  <c r="S53" i="2"/>
  <c r="U53" i="2" s="1"/>
  <c r="M31" i="3" l="1"/>
  <c r="M35" i="3" s="1"/>
  <c r="O30" i="3"/>
  <c r="M33" i="3"/>
  <c r="K33" i="3" l="1"/>
  <c r="K35" i="3" s="1"/>
  <c r="O33" i="3"/>
  <c r="G31" i="3"/>
  <c r="G35" i="3" s="1"/>
  <c r="O31" i="3" l="1"/>
  <c r="O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Danyllo Costa</author>
  </authors>
  <commentList>
    <comment ref="G40" authorId="0" shapeId="0" xr:uid="{277B4D9A-40A4-4C21-A833-4F33987929A3}">
      <text>
        <r>
          <rPr>
            <b/>
            <sz val="9"/>
            <color indexed="81"/>
            <rFont val="Segoe UI"/>
            <family val="2"/>
          </rPr>
          <t>Danyllo Costa:</t>
        </r>
        <r>
          <rPr>
            <sz val="9"/>
            <color indexed="81"/>
            <rFont val="Segoe UI"/>
            <family val="2"/>
          </rPr>
          <t xml:space="preserve">
Ok, limitado a 15%, conforme estatuto.</t>
        </r>
      </text>
    </comment>
  </commentList>
</comments>
</file>

<file path=xl/sharedStrings.xml><?xml version="1.0" encoding="utf-8"?>
<sst xmlns="http://schemas.openxmlformats.org/spreadsheetml/2006/main" count="140" uniqueCount="108">
  <si>
    <t>Balanços patrimoniais em 31 de dezembro de 2024 e em 31 de dezembro de 2023</t>
  </si>
  <si>
    <t>Ativo</t>
  </si>
  <si>
    <t>Passivo</t>
  </si>
  <si>
    <t>Circulante</t>
  </si>
  <si>
    <t>Notas</t>
  </si>
  <si>
    <t>Caixa e equivalentes de caixa</t>
  </si>
  <si>
    <t>Fornecedores</t>
  </si>
  <si>
    <t>Valores de terceiros</t>
  </si>
  <si>
    <t xml:space="preserve">Folha de pagamento/provisões/encargos </t>
  </si>
  <si>
    <t>Contas a receber de clientes</t>
  </si>
  <si>
    <t>Impostos e contribuições a recolher</t>
  </si>
  <si>
    <t>Almoxarifado</t>
  </si>
  <si>
    <t>Juros sobre capital próprio</t>
  </si>
  <si>
    <t>Impostos e contribuições a recuperar</t>
  </si>
  <si>
    <t>Provisão participação nos resultados</t>
  </si>
  <si>
    <t>Outras contas a receber</t>
  </si>
  <si>
    <t>Arrendamento tegram a apropriar</t>
  </si>
  <si>
    <t>Direitos de outorga</t>
  </si>
  <si>
    <t>Outras contas a pagar</t>
  </si>
  <si>
    <t>Outorgas a apropriar</t>
  </si>
  <si>
    <t>Total do passivo circulante</t>
  </si>
  <si>
    <t>Total do ativo circulante</t>
  </si>
  <si>
    <t>Não circulante</t>
  </si>
  <si>
    <r>
      <t>Contas a receber de clientes</t>
    </r>
    <r>
      <rPr>
        <sz val="10"/>
        <color theme="0"/>
        <rFont val="Arial"/>
        <family val="2"/>
      </rPr>
      <t>.</t>
    </r>
  </si>
  <si>
    <r>
      <t>Arrendamento tegram a apropriar</t>
    </r>
    <r>
      <rPr>
        <sz val="10"/>
        <color theme="0"/>
        <rFont val="Arial"/>
        <family val="2"/>
      </rPr>
      <t>.</t>
    </r>
  </si>
  <si>
    <t xml:space="preserve">Depósitos Judiciais </t>
  </si>
  <si>
    <t>Convênios a comprovar</t>
  </si>
  <si>
    <r>
      <t>Impostos e contribuições a recuperar</t>
    </r>
    <r>
      <rPr>
        <sz val="10"/>
        <color theme="0"/>
        <rFont val="Arial"/>
        <family val="2"/>
      </rPr>
      <t>.</t>
    </r>
  </si>
  <si>
    <t>Provisão para contingências</t>
  </si>
  <si>
    <r>
      <t>Direitos de outorga</t>
    </r>
    <r>
      <rPr>
        <sz val="10"/>
        <color theme="0"/>
        <rFont val="Arial"/>
        <family val="2"/>
      </rPr>
      <t>.</t>
    </r>
  </si>
  <si>
    <r>
      <t>Outorgas a apropriar</t>
    </r>
    <r>
      <rPr>
        <sz val="10"/>
        <color theme="0"/>
        <rFont val="Arial"/>
        <family val="2"/>
      </rPr>
      <t>.</t>
    </r>
  </si>
  <si>
    <t>Bens de Terceiros - Bens da União</t>
  </si>
  <si>
    <t>Subvenções a apropriar</t>
  </si>
  <si>
    <t>Intangível</t>
  </si>
  <si>
    <t>Total do passivo não circulante</t>
  </si>
  <si>
    <t>Total do ativo não circulante</t>
  </si>
  <si>
    <t>Patrimônio Líquido</t>
  </si>
  <si>
    <t>Capital Social</t>
  </si>
  <si>
    <t>Reservas e retenção de lucros</t>
  </si>
  <si>
    <t>Lucro/prejuízo do período</t>
  </si>
  <si>
    <t>Total do patrimônio Líquido</t>
  </si>
  <si>
    <t>Total do ativo</t>
  </si>
  <si>
    <t>Total do passivo</t>
  </si>
  <si>
    <t>As notas explicativas da Administração são parte integrante das demonstrações contábeis.</t>
  </si>
  <si>
    <t>Demonstrações do Resultado</t>
  </si>
  <si>
    <t>Exercícios findos em 31 de dezembro de 2024 e 2023</t>
  </si>
  <si>
    <t>Variação</t>
  </si>
  <si>
    <t>Mês</t>
  </si>
  <si>
    <t>Nota</t>
  </si>
  <si>
    <t>Acumulado</t>
  </si>
  <si>
    <t>Explicativa</t>
  </si>
  <si>
    <t>R$</t>
  </si>
  <si>
    <t>%</t>
  </si>
  <si>
    <t>Receita bruta</t>
  </si>
  <si>
    <t>Tarifas/Serviços</t>
  </si>
  <si>
    <t>Arrendamento</t>
  </si>
  <si>
    <t>Arrendamento TEGRAM</t>
  </si>
  <si>
    <t>Arrendamento de Áreas IQI 03/11/12 e 13</t>
  </si>
  <si>
    <t>Outras Receitas</t>
  </si>
  <si>
    <t>Deduções da receita</t>
  </si>
  <si>
    <t>Impostos s/ Faturamento</t>
  </si>
  <si>
    <t>Receita líquida</t>
  </si>
  <si>
    <t>Custos</t>
  </si>
  <si>
    <t>Custos com pessoal</t>
  </si>
  <si>
    <t>Custos com infraestrutura portuária</t>
  </si>
  <si>
    <t>Custos gerais</t>
  </si>
  <si>
    <t>Custos com materiais</t>
  </si>
  <si>
    <t>Custos com serviços essenciais</t>
  </si>
  <si>
    <t>Outros custos</t>
  </si>
  <si>
    <t>Lucro bruto</t>
  </si>
  <si>
    <t>Despesas gerais e administrativas</t>
  </si>
  <si>
    <t>Pessoal/encargos e benefícios</t>
  </si>
  <si>
    <t>Despesas gerais</t>
  </si>
  <si>
    <t>Materiais</t>
  </si>
  <si>
    <t>Serviços essenciais</t>
  </si>
  <si>
    <t>Provisão/(reversão) de contingências.</t>
  </si>
  <si>
    <t>Outras despesas</t>
  </si>
  <si>
    <t>Depreciação e Amortização</t>
  </si>
  <si>
    <t>Resultado financeiro</t>
  </si>
  <si>
    <t>Receitas financeiras</t>
  </si>
  <si>
    <t>Despesas financeiras</t>
  </si>
  <si>
    <t>Resultado antes dos tributos sobre o lucro</t>
  </si>
  <si>
    <t>Tributos sobre o Lucro</t>
  </si>
  <si>
    <t>(-) Provisão para Contribuição Social</t>
  </si>
  <si>
    <t>(-) Provisão para IRPJ</t>
  </si>
  <si>
    <t>(+)Receita de Subvenção -Redução IRPJ SUDENE</t>
  </si>
  <si>
    <t>Lucro líquido do exercício</t>
  </si>
  <si>
    <t>Demonstrações das Mutações do Patrimônio Líquido</t>
  </si>
  <si>
    <t>Reserva Legal</t>
  </si>
  <si>
    <t>Reserva de Incentivo Fiscal</t>
  </si>
  <si>
    <t xml:space="preserve">Reserva de Lucros </t>
  </si>
  <si>
    <t>Resultado do Exercício</t>
  </si>
  <si>
    <t>Total</t>
  </si>
  <si>
    <t>Em 31 de Dezembro de 2020</t>
  </si>
  <si>
    <t>Incorporação de juros sobre capital próprio</t>
  </si>
  <si>
    <t>Capitalização de reservas</t>
  </si>
  <si>
    <t>Capitalização em Imóveis/Terrenos</t>
  </si>
  <si>
    <t>Ajustes de exercícios anteriores</t>
  </si>
  <si>
    <t>Lucro do exercício</t>
  </si>
  <si>
    <t>Constituição de reserva legal</t>
  </si>
  <si>
    <t>Constituição de reserva de incentivo fiscal</t>
  </si>
  <si>
    <t>Constituição de reserva de lucros</t>
  </si>
  <si>
    <t>Em 31 de Dezembro de 2022</t>
  </si>
  <si>
    <t>Em 31 de Dezembro de 2023</t>
  </si>
  <si>
    <t>Empresa Maranhense de Administração Portuária - EMAP</t>
  </si>
  <si>
    <t xml:space="preserve">Balanço Patrimonial </t>
  </si>
  <si>
    <t>Em 31 de Dezembro de 2024</t>
  </si>
  <si>
    <t>(Em milhares de Reais)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</si>
</sst>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d/mm/yyyy"/>
    <numFmt numFmtId="168" formatCode="0.0%"/>
    <numFmt numFmtId="169" formatCode="_-&quot;R$&quot;\ * #,##0_-;\-&quot;R$&quot;\ * #,##0_-;_-&quot;R$&quot;\ * &quot;-&quot;??_-;_-@_-"/>
    <numFmt numFmtId="170" formatCode="0.00000"/>
    <numFmt numFmtId="171" formatCode="#,##0.000"/>
  </numFmts>
  <fonts count="22">
    <font>
      <sz val="10"/>
      <name val="Arial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u/>
      <sz val="10"/>
      <name val="Arial"/>
      <family val="2"/>
    </font>
    <font>
      <sz val="10"/>
      <color rgb="FFFFFF0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1"/>
      <name val="Trebuchet MS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Genev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9" fillId="0" borderId="0"/>
  </cellStyleXfs>
  <cellXfs count="17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4" applyFont="1" applyFill="1" applyAlignment="1">
      <alignment vertical="center"/>
    </xf>
    <xf numFmtId="4" fontId="2" fillId="0" borderId="0" xfId="0" applyNumberFormat="1" applyFont="1"/>
    <xf numFmtId="165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4" fontId="2" fillId="0" borderId="0" xfId="4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165" fontId="2" fillId="0" borderId="0" xfId="4" applyNumberFormat="1" applyFont="1" applyFill="1" applyAlignment="1">
      <alignment vertical="center"/>
    </xf>
    <xf numFmtId="165" fontId="2" fillId="0" borderId="0" xfId="4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65" fontId="2" fillId="0" borderId="0" xfId="4" applyNumberFormat="1" applyFont="1" applyFill="1" applyBorder="1" applyAlignment="1"/>
    <xf numFmtId="0" fontId="2" fillId="0" borderId="0" xfId="0" applyFont="1" applyAlignment="1">
      <alignment horizontal="left" vertical="center"/>
    </xf>
    <xf numFmtId="165" fontId="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4" applyNumberFormat="1" applyFont="1" applyFill="1" applyBorder="1" applyAlignment="1">
      <alignment vertical="center"/>
    </xf>
    <xf numFmtId="165" fontId="4" fillId="0" borderId="4" xfId="4" applyNumberFormat="1" applyFont="1" applyFill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165" fontId="2" fillId="0" borderId="4" xfId="0" applyNumberFormat="1" applyFont="1" applyBorder="1" applyAlignment="1">
      <alignment vertical="center"/>
    </xf>
    <xf numFmtId="0" fontId="12" fillId="0" borderId="0" xfId="0" applyFont="1"/>
    <xf numFmtId="164" fontId="4" fillId="0" borderId="0" xfId="0" applyNumberFormat="1" applyFont="1" applyAlignment="1">
      <alignment vertical="center"/>
    </xf>
    <xf numFmtId="43" fontId="4" fillId="0" borderId="0" xfId="1" applyFont="1" applyFill="1" applyBorder="1" applyAlignment="1">
      <alignment vertical="center"/>
    </xf>
    <xf numFmtId="165" fontId="2" fillId="0" borderId="4" xfId="4" applyNumberFormat="1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/>
    </xf>
    <xf numFmtId="165" fontId="4" fillId="0" borderId="5" xfId="0" applyNumberFormat="1" applyFont="1" applyBorder="1"/>
    <xf numFmtId="165" fontId="2" fillId="0" borderId="0" xfId="0" applyNumberFormat="1" applyFont="1"/>
    <xf numFmtId="165" fontId="2" fillId="0" borderId="5" xfId="0" applyNumberFormat="1" applyFont="1" applyBorder="1"/>
    <xf numFmtId="165" fontId="4" fillId="0" borderId="5" xfId="4" applyNumberFormat="1" applyFont="1" applyFill="1" applyBorder="1" applyAlignment="1"/>
    <xf numFmtId="165" fontId="2" fillId="0" borderId="5" xfId="4" applyNumberFormat="1" applyFont="1" applyFill="1" applyBorder="1" applyAlignment="1"/>
    <xf numFmtId="0" fontId="4" fillId="0" borderId="2" xfId="0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165" fontId="4" fillId="0" borderId="2" xfId="4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center" vertical="center"/>
    </xf>
    <xf numFmtId="0" fontId="15" fillId="0" borderId="4" xfId="5" applyFont="1" applyBorder="1" applyAlignment="1">
      <alignment horizontal="center"/>
    </xf>
    <xf numFmtId="0" fontId="15" fillId="0" borderId="0" xfId="5" applyFont="1" applyAlignment="1">
      <alignment horizontal="center"/>
    </xf>
    <xf numFmtId="9" fontId="15" fillId="0" borderId="4" xfId="6" applyFont="1" applyFill="1" applyBorder="1" applyAlignment="1">
      <alignment horizontal="center"/>
    </xf>
    <xf numFmtId="9" fontId="15" fillId="0" borderId="0" xfId="6" applyFont="1" applyFill="1" applyBorder="1" applyAlignment="1">
      <alignment horizontal="center"/>
    </xf>
    <xf numFmtId="165" fontId="4" fillId="0" borderId="4" xfId="7" applyNumberFormat="1" applyFont="1" applyFill="1" applyBorder="1" applyAlignment="1">
      <alignment vertical="center"/>
    </xf>
    <xf numFmtId="165" fontId="4" fillId="0" borderId="0" xfId="7" applyNumberFormat="1" applyFont="1" applyFill="1" applyBorder="1" applyAlignment="1">
      <alignment vertical="center"/>
    </xf>
    <xf numFmtId="168" fontId="4" fillId="0" borderId="4" xfId="0" applyNumberFormat="1" applyFont="1" applyBorder="1" applyAlignment="1">
      <alignment vertical="center"/>
    </xf>
    <xf numFmtId="168" fontId="4" fillId="0" borderId="4" xfId="7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2"/>
    </xf>
    <xf numFmtId="165" fontId="2" fillId="0" borderId="0" xfId="7" applyNumberFormat="1" applyFont="1" applyFill="1" applyAlignment="1">
      <alignment vertical="center"/>
    </xf>
    <xf numFmtId="165" fontId="2" fillId="0" borderId="0" xfId="7" applyNumberFormat="1" applyFont="1" applyFill="1" applyBorder="1" applyAlignment="1">
      <alignment vertical="center"/>
    </xf>
    <xf numFmtId="168" fontId="2" fillId="0" borderId="0" xfId="0" applyNumberFormat="1" applyFont="1" applyAlignment="1">
      <alignment vertical="center"/>
    </xf>
    <xf numFmtId="9" fontId="4" fillId="0" borderId="0" xfId="3" applyFont="1" applyFill="1" applyAlignment="1">
      <alignment horizontal="center" vertical="center"/>
    </xf>
    <xf numFmtId="0" fontId="0" fillId="0" borderId="0" xfId="0" applyAlignment="1">
      <alignment horizontal="left" vertical="center" indent="2"/>
    </xf>
    <xf numFmtId="165" fontId="4" fillId="0" borderId="4" xfId="8" applyNumberFormat="1" applyFont="1" applyFill="1" applyBorder="1" applyAlignment="1">
      <alignment vertical="center"/>
    </xf>
    <xf numFmtId="165" fontId="4" fillId="0" borderId="0" xfId="8" applyNumberFormat="1" applyFont="1" applyFill="1" applyBorder="1" applyAlignment="1">
      <alignment vertical="center"/>
    </xf>
    <xf numFmtId="165" fontId="4" fillId="0" borderId="0" xfId="7" applyNumberFormat="1" applyFont="1" applyFill="1" applyAlignment="1">
      <alignment vertical="center"/>
    </xf>
    <xf numFmtId="0" fontId="16" fillId="0" borderId="0" xfId="5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17" fillId="0" borderId="0" xfId="5" applyFont="1" applyAlignment="1">
      <alignment horizontal="left" vertical="center" indent="4"/>
    </xf>
    <xf numFmtId="0" fontId="0" fillId="0" borderId="0" xfId="0" applyAlignment="1">
      <alignment horizontal="left" vertical="center" indent="4"/>
    </xf>
    <xf numFmtId="168" fontId="2" fillId="0" borderId="4" xfId="0" applyNumberFormat="1" applyFont="1" applyBorder="1" applyAlignment="1">
      <alignment vertical="center"/>
    </xf>
    <xf numFmtId="43" fontId="2" fillId="0" borderId="0" xfId="1" applyFont="1" applyFill="1" applyAlignment="1">
      <alignment vertical="center"/>
    </xf>
    <xf numFmtId="165" fontId="2" fillId="0" borderId="4" xfId="7" applyNumberFormat="1" applyFont="1" applyFill="1" applyBorder="1" applyAlignment="1">
      <alignment vertical="center"/>
    </xf>
    <xf numFmtId="165" fontId="4" fillId="0" borderId="5" xfId="7" applyNumberFormat="1" applyFont="1" applyFill="1" applyBorder="1" applyAlignment="1">
      <alignment vertical="center"/>
    </xf>
    <xf numFmtId="168" fontId="4" fillId="0" borderId="5" xfId="7" applyNumberFormat="1" applyFont="1" applyFill="1" applyBorder="1" applyAlignment="1">
      <alignment vertical="center"/>
    </xf>
    <xf numFmtId="168" fontId="4" fillId="0" borderId="0" xfId="7" applyNumberFormat="1" applyFont="1" applyFill="1" applyBorder="1" applyAlignment="1">
      <alignment vertical="center"/>
    </xf>
    <xf numFmtId="165" fontId="2" fillId="0" borderId="0" xfId="8" applyNumberFormat="1" applyFont="1" applyFill="1" applyBorder="1" applyAlignment="1">
      <alignment vertical="center"/>
    </xf>
    <xf numFmtId="168" fontId="2" fillId="0" borderId="0" xfId="3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4" fontId="2" fillId="0" borderId="0" xfId="8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7" xfId="9" applyNumberFormat="1" applyFont="1" applyFill="1" applyBorder="1" applyAlignment="1">
      <alignment vertical="center"/>
    </xf>
    <xf numFmtId="165" fontId="4" fillId="0" borderId="0" xfId="9" applyNumberFormat="1" applyFont="1" applyFill="1" applyAlignment="1">
      <alignment vertical="center"/>
    </xf>
    <xf numFmtId="165" fontId="4" fillId="0" borderId="0" xfId="9" applyNumberFormat="1" applyFont="1" applyFill="1" applyBorder="1" applyAlignment="1">
      <alignment vertical="center"/>
    </xf>
    <xf numFmtId="170" fontId="2" fillId="0" borderId="0" xfId="0" applyNumberFormat="1" applyFont="1" applyAlignment="1">
      <alignment vertical="center"/>
    </xf>
    <xf numFmtId="164" fontId="4" fillId="0" borderId="0" xfId="9" applyFont="1" applyFill="1" applyBorder="1" applyAlignment="1">
      <alignment vertical="center"/>
    </xf>
    <xf numFmtId="166" fontId="2" fillId="0" borderId="0" xfId="10" applyNumberFormat="1" applyFont="1" applyFill="1" applyAlignment="1">
      <alignment vertical="center"/>
    </xf>
    <xf numFmtId="165" fontId="4" fillId="0" borderId="0" xfId="10" applyNumberFormat="1" applyFont="1" applyFill="1" applyAlignment="1">
      <alignment vertical="center"/>
    </xf>
    <xf numFmtId="165" fontId="2" fillId="0" borderId="0" xfId="10" applyNumberFormat="1" applyFont="1" applyBorder="1" applyAlignment="1">
      <alignment vertical="center"/>
    </xf>
    <xf numFmtId="165" fontId="2" fillId="0" borderId="0" xfId="8" applyNumberFormat="1" applyFont="1" applyFill="1" applyBorder="1" applyAlignment="1">
      <alignment horizontal="right" vertical="center"/>
    </xf>
    <xf numFmtId="165" fontId="2" fillId="0" borderId="0" xfId="8" applyNumberFormat="1" applyFont="1" applyFill="1" applyBorder="1" applyAlignment="1">
      <alignment horizontal="center" vertical="center"/>
    </xf>
    <xf numFmtId="165" fontId="15" fillId="0" borderId="7" xfId="8" applyNumberFormat="1" applyFont="1" applyFill="1" applyBorder="1" applyAlignment="1">
      <alignment vertical="center"/>
    </xf>
    <xf numFmtId="165" fontId="15" fillId="0" borderId="0" xfId="8" applyNumberFormat="1" applyFont="1" applyFill="1" applyBorder="1" applyAlignment="1">
      <alignment vertical="center"/>
    </xf>
    <xf numFmtId="165" fontId="15" fillId="0" borderId="7" xfId="8" applyNumberFormat="1" applyFont="1" applyFill="1" applyBorder="1" applyAlignment="1">
      <alignment horizontal="center" vertical="center"/>
    </xf>
    <xf numFmtId="165" fontId="15" fillId="0" borderId="7" xfId="10" applyNumberFormat="1" applyFont="1" applyFill="1" applyBorder="1" applyAlignment="1">
      <alignment vertical="center"/>
    </xf>
    <xf numFmtId="166" fontId="2" fillId="0" borderId="0" xfId="10" applyNumberFormat="1" applyFont="1" applyAlignment="1">
      <alignment vertical="center"/>
    </xf>
    <xf numFmtId="165" fontId="4" fillId="0" borderId="7" xfId="10" applyNumberFormat="1" applyFont="1" applyBorder="1" applyAlignment="1">
      <alignment vertical="center"/>
    </xf>
    <xf numFmtId="165" fontId="0" fillId="0" borderId="0" xfId="0" applyNumberFormat="1" applyAlignment="1">
      <alignment vertical="center"/>
    </xf>
    <xf numFmtId="171" fontId="2" fillId="0" borderId="0" xfId="0" applyNumberFormat="1" applyFont="1" applyAlignment="1">
      <alignment vertical="center"/>
    </xf>
    <xf numFmtId="165" fontId="4" fillId="0" borderId="0" xfId="10" applyNumberFormat="1" applyFont="1" applyFill="1" applyBorder="1" applyAlignment="1">
      <alignment vertical="center"/>
    </xf>
    <xf numFmtId="165" fontId="4" fillId="0" borderId="0" xfId="10" applyNumberFormat="1" applyFont="1" applyFill="1" applyBorder="1" applyAlignment="1">
      <alignment horizontal="center" vertical="center"/>
    </xf>
    <xf numFmtId="164" fontId="4" fillId="0" borderId="0" xfId="10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165" fontId="2" fillId="0" borderId="0" xfId="11" applyNumberFormat="1" applyFont="1" applyFill="1" applyBorder="1" applyAlignment="1">
      <alignment vertical="center"/>
    </xf>
    <xf numFmtId="165" fontId="2" fillId="0" borderId="0" xfId="1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165" fontId="4" fillId="0" borderId="0" xfId="10" applyNumberFormat="1" applyFont="1" applyAlignment="1">
      <alignment vertical="center"/>
    </xf>
    <xf numFmtId="165" fontId="3" fillId="0" borderId="7" xfId="9" applyNumberFormat="1" applyFont="1" applyFill="1" applyBorder="1" applyAlignment="1">
      <alignment vertical="center"/>
    </xf>
    <xf numFmtId="165" fontId="3" fillId="0" borderId="0" xfId="10" applyNumberFormat="1" applyFont="1" applyFill="1" applyAlignment="1">
      <alignment vertical="center"/>
    </xf>
    <xf numFmtId="4" fontId="0" fillId="0" borderId="0" xfId="0" applyNumberFormat="1"/>
    <xf numFmtId="3" fontId="2" fillId="0" borderId="0" xfId="8" applyNumberFormat="1" applyFont="1" applyFill="1" applyBorder="1" applyAlignment="1">
      <alignment vertical="center"/>
    </xf>
    <xf numFmtId="166" fontId="2" fillId="0" borderId="0" xfId="10" applyNumberFormat="1" applyFont="1" applyBorder="1" applyAlignment="1">
      <alignment vertical="center"/>
    </xf>
    <xf numFmtId="165" fontId="4" fillId="0" borderId="0" xfId="10" applyNumberFormat="1" applyFont="1" applyBorder="1" applyAlignment="1">
      <alignment vertical="center"/>
    </xf>
    <xf numFmtId="14" fontId="4" fillId="3" borderId="0" xfId="0" applyNumberFormat="1" applyFont="1" applyFill="1" applyAlignment="1">
      <alignment horizontal="center" vertical="center"/>
    </xf>
    <xf numFmtId="165" fontId="3" fillId="0" borderId="0" xfId="9" applyNumberFormat="1" applyFont="1" applyFill="1" applyBorder="1" applyAlignment="1">
      <alignment vertical="center"/>
    </xf>
    <xf numFmtId="164" fontId="2" fillId="0" borderId="0" xfId="1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43" fontId="4" fillId="0" borderId="0" xfId="1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165" fontId="1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vertical="center"/>
    </xf>
    <xf numFmtId="165" fontId="0" fillId="0" borderId="0" xfId="0" applyNumberForma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169" fontId="2" fillId="0" borderId="0" xfId="2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justify" vertical="center"/>
    </xf>
    <xf numFmtId="165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indent="1"/>
    </xf>
    <xf numFmtId="0" fontId="0" fillId="0" borderId="0" xfId="0" applyBorder="1" applyAlignment="1">
      <alignment horizontal="left" vertical="center" indent="1"/>
    </xf>
    <xf numFmtId="166" fontId="13" fillId="0" borderId="0" xfId="1" applyNumberFormat="1" applyFont="1" applyFill="1" applyBorder="1" applyAlignment="1">
      <alignment horizontal="center" vertical="center"/>
    </xf>
    <xf numFmtId="165" fontId="2" fillId="0" borderId="0" xfId="7" applyNumberFormat="1" applyFont="1" applyFill="1" applyBorder="1" applyAlignment="1">
      <alignment horizontal="center" vertical="center"/>
    </xf>
    <xf numFmtId="165" fontId="4" fillId="4" borderId="6" xfId="12" applyNumberFormat="1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4" borderId="6" xfId="0" applyFont="1" applyFill="1" applyBorder="1"/>
    <xf numFmtId="166" fontId="13" fillId="0" borderId="6" xfId="0" applyNumberFormat="1" applyFont="1" applyBorder="1" applyAlignment="1">
      <alignment vertical="center"/>
    </xf>
    <xf numFmtId="9" fontId="2" fillId="0" borderId="0" xfId="3" applyFont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2" fontId="13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</cellXfs>
  <cellStyles count="13">
    <cellStyle name="Moeda" xfId="2" builtinId="4"/>
    <cellStyle name="Normal" xfId="0" builtinId="0"/>
    <cellStyle name="Normal 4" xfId="12" xr:uid="{5B3A40C2-5C9A-4ED6-AA64-603AB385DBDE}"/>
    <cellStyle name="Normal 6" xfId="5" xr:uid="{12E79E02-26C8-4E7C-98E7-3837B7F8CD64}"/>
    <cellStyle name="Porcentagem" xfId="3" builtinId="5"/>
    <cellStyle name="Porcentagem 2" xfId="6" xr:uid="{E3726653-F029-47A7-A57E-D81CA94D8C9B}"/>
    <cellStyle name="Vírgula" xfId="1" builtinId="3"/>
    <cellStyle name="Vírgula 10" xfId="10" xr:uid="{FEA9E706-CDD5-4757-8DD9-131114A64A50}"/>
    <cellStyle name="Vírgula 12 3" xfId="7" xr:uid="{837D3057-FFF3-4277-931E-CF1D28239A45}"/>
    <cellStyle name="Vírgula 12 4" xfId="4" xr:uid="{C06FE3D0-C7C2-44D7-9A96-A1278D004384}"/>
    <cellStyle name="Vírgula 2" xfId="8" xr:uid="{92BADAC7-D682-4C12-AACA-9F2BEC9BC69E}"/>
    <cellStyle name="Vírgula 2 2" xfId="11" xr:uid="{1C4A2148-91C5-46C9-BF12-CB3D506A6021}"/>
    <cellStyle name="Vírgula 7 3" xfId="9" xr:uid="{C6EA9185-492B-4CA2-B2B3-B9DC0E067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9C0E2-FD31-4628-B953-5F574B931CB6}">
  <sheetPr>
    <tabColor rgb="FFFFFF00"/>
  </sheetPr>
  <dimension ref="B1:AE62"/>
  <sheetViews>
    <sheetView showGridLines="0" view="pageBreakPreview" zoomScale="90" zoomScaleNormal="80" zoomScaleSheetLayoutView="90" workbookViewId="0">
      <selection activeCell="AF54" sqref="AF53:AF54"/>
    </sheetView>
  </sheetViews>
  <sheetFormatPr defaultColWidth="9.140625" defaultRowHeight="12.75" outlineLevelRow="1" outlineLevelCol="1"/>
  <cols>
    <col min="1" max="1" width="1.28515625" style="1" customWidth="1"/>
    <col min="2" max="2" width="29.42578125" style="1" hidden="1" customWidth="1" outlineLevel="1"/>
    <col min="3" max="6" width="15.85546875" style="1" hidden="1" customWidth="1" outlineLevel="1"/>
    <col min="7" max="7" width="15.5703125" style="1" hidden="1" customWidth="1" outlineLevel="1"/>
    <col min="8" max="8" width="4.85546875" style="1" customWidth="1" collapsed="1"/>
    <col min="9" max="9" width="35.5703125" style="1" customWidth="1"/>
    <col min="10" max="10" width="6" style="3" bestFit="1" customWidth="1"/>
    <col min="11" max="11" width="1.7109375" style="3" customWidth="1"/>
    <col min="12" max="12" width="12.85546875" style="3" customWidth="1"/>
    <col min="13" max="13" width="1.7109375" style="3" hidden="1" customWidth="1"/>
    <col min="14" max="14" width="11.7109375" style="3" hidden="1" customWidth="1"/>
    <col min="15" max="15" width="1.7109375" style="3" customWidth="1"/>
    <col min="16" max="16" width="11.7109375" style="3" customWidth="1"/>
    <col min="17" max="17" width="8" style="1" customWidth="1"/>
    <col min="18" max="18" width="5.42578125" style="1" customWidth="1"/>
    <col min="19" max="19" width="42.7109375" style="1" bestFit="1" customWidth="1"/>
    <col min="20" max="20" width="6" style="1" bestFit="1" customWidth="1"/>
    <col min="21" max="21" width="1.7109375" style="1" customWidth="1"/>
    <col min="22" max="22" width="13.7109375" style="1" customWidth="1"/>
    <col min="23" max="23" width="1.7109375" style="1" customWidth="1"/>
    <col min="24" max="24" width="11.7109375" style="1" hidden="1" customWidth="1"/>
    <col min="25" max="25" width="1.7109375" style="1" hidden="1" customWidth="1"/>
    <col min="26" max="26" width="11.7109375" style="1" customWidth="1"/>
    <col min="27" max="28" width="9.140625" style="1"/>
    <col min="29" max="29" width="13.42578125" style="1" bestFit="1" customWidth="1"/>
    <col min="30" max="30" width="11.85546875" style="1" bestFit="1" customWidth="1"/>
    <col min="31" max="16384" width="9.140625" style="1"/>
  </cols>
  <sheetData>
    <row r="1" spans="2:28" ht="14.1" customHeight="1">
      <c r="H1" s="2" t="s">
        <v>104</v>
      </c>
      <c r="I1" s="2"/>
      <c r="L1" s="4"/>
      <c r="M1" s="4"/>
      <c r="N1" s="4"/>
      <c r="O1" s="4"/>
      <c r="P1" s="4"/>
      <c r="S1" s="5"/>
    </row>
    <row r="2" spans="2:28" ht="14.1" hidden="1" customHeight="1">
      <c r="H2" s="2" t="s">
        <v>105</v>
      </c>
      <c r="I2" s="6"/>
      <c r="J2" s="7"/>
      <c r="K2" s="7"/>
      <c r="L2" s="8"/>
      <c r="M2" s="8"/>
      <c r="N2" s="8"/>
      <c r="O2" s="8"/>
      <c r="P2" s="8"/>
      <c r="R2" s="5"/>
      <c r="S2" s="5"/>
      <c r="V2" s="9"/>
    </row>
    <row r="3" spans="2:28" ht="15.75" hidden="1" customHeight="1">
      <c r="H3" s="2" t="s">
        <v>106</v>
      </c>
      <c r="I3" s="10"/>
      <c r="R3" s="11"/>
      <c r="S3" s="12"/>
      <c r="T3" s="13"/>
      <c r="U3" s="13"/>
      <c r="V3" s="14"/>
      <c r="W3" s="15"/>
      <c r="X3" s="14"/>
      <c r="Y3" s="15"/>
      <c r="Z3" s="14"/>
    </row>
    <row r="4" spans="2:28" ht="15.75" customHeight="1">
      <c r="H4" s="2"/>
      <c r="I4" s="10"/>
      <c r="R4" s="11"/>
      <c r="S4" s="12"/>
      <c r="T4" s="13"/>
      <c r="U4" s="13"/>
      <c r="V4" s="14"/>
      <c r="W4" s="15"/>
      <c r="X4" s="14"/>
      <c r="Y4" s="15"/>
      <c r="Z4" s="14"/>
    </row>
    <row r="5" spans="2:28" ht="14.1" customHeight="1">
      <c r="H5" s="2" t="s">
        <v>0</v>
      </c>
      <c r="I5" s="10"/>
      <c r="R5" s="11"/>
      <c r="S5" s="12"/>
      <c r="T5" s="13"/>
      <c r="U5" s="13"/>
      <c r="V5" s="14"/>
      <c r="W5" s="15"/>
      <c r="X5" s="14"/>
      <c r="Y5" s="15"/>
      <c r="Z5" s="14"/>
    </row>
    <row r="6" spans="2:28" ht="14.1" customHeight="1">
      <c r="H6" s="16" t="s">
        <v>107</v>
      </c>
      <c r="I6" s="2"/>
      <c r="L6" s="17"/>
      <c r="M6" s="17"/>
      <c r="N6" s="17"/>
      <c r="O6" s="17"/>
      <c r="P6" s="17"/>
      <c r="R6" s="9"/>
      <c r="S6" s="14"/>
    </row>
    <row r="7" spans="2:28" ht="14.25">
      <c r="H7" s="18"/>
      <c r="I7" s="6"/>
      <c r="L7" s="17"/>
      <c r="M7" s="17"/>
      <c r="N7" s="17"/>
      <c r="O7" s="17"/>
      <c r="P7" s="17"/>
      <c r="S7" s="9"/>
    </row>
    <row r="8" spans="2:28">
      <c r="B8" s="133" t="s">
        <v>1</v>
      </c>
      <c r="C8" s="134"/>
      <c r="D8" s="135"/>
      <c r="E8" s="133" t="s">
        <v>2</v>
      </c>
      <c r="F8" s="134"/>
      <c r="G8" s="135"/>
      <c r="H8" s="3" t="s">
        <v>1</v>
      </c>
      <c r="L8" s="20"/>
      <c r="M8" s="20"/>
      <c r="N8" s="20"/>
      <c r="O8" s="20"/>
      <c r="P8" s="20"/>
      <c r="R8" s="3" t="s">
        <v>2</v>
      </c>
    </row>
    <row r="9" spans="2:28">
      <c r="B9" s="21">
        <f>L9</f>
        <v>45657</v>
      </c>
      <c r="C9" s="21">
        <f>N9</f>
        <v>45626</v>
      </c>
      <c r="D9" s="21">
        <f>P9</f>
        <v>45291</v>
      </c>
      <c r="E9" s="21">
        <f>V9</f>
        <v>45657</v>
      </c>
      <c r="F9" s="21">
        <f>X9</f>
        <v>45626</v>
      </c>
      <c r="G9" s="21">
        <f>Z9</f>
        <v>45291</v>
      </c>
      <c r="H9" s="22" t="s">
        <v>3</v>
      </c>
      <c r="J9" s="23" t="s">
        <v>4</v>
      </c>
      <c r="K9" s="24"/>
      <c r="L9" s="25">
        <v>45657</v>
      </c>
      <c r="M9" s="21"/>
      <c r="N9" s="25">
        <v>45626</v>
      </c>
      <c r="O9" s="21"/>
      <c r="P9" s="25">
        <v>45291</v>
      </c>
      <c r="R9" s="3" t="s">
        <v>3</v>
      </c>
      <c r="S9" s="3"/>
      <c r="T9" s="23" t="s">
        <v>4</v>
      </c>
      <c r="U9" s="24"/>
      <c r="V9" s="25">
        <v>45657</v>
      </c>
      <c r="W9" s="21"/>
      <c r="X9" s="25">
        <v>45626</v>
      </c>
      <c r="Y9" s="21"/>
      <c r="Z9" s="25">
        <v>45291</v>
      </c>
    </row>
    <row r="10" spans="2:28">
      <c r="H10" s="3"/>
      <c r="J10" s="24"/>
      <c r="K10" s="24"/>
      <c r="L10" s="26"/>
      <c r="M10" s="26"/>
      <c r="N10" s="26"/>
      <c r="O10" s="26"/>
      <c r="P10" s="26"/>
      <c r="Q10" s="3"/>
      <c r="R10" s="3"/>
      <c r="T10" s="24"/>
      <c r="U10" s="24"/>
      <c r="V10" s="26"/>
      <c r="W10" s="26"/>
      <c r="X10" s="26"/>
      <c r="Y10" s="26"/>
      <c r="Z10" s="26"/>
    </row>
    <row r="11" spans="2:28">
      <c r="B11" s="1" t="str">
        <f>$I11&amp;$B$9</f>
        <v>Caixa e equivalentes de caixa45657</v>
      </c>
      <c r="C11" s="1" t="str">
        <f t="shared" ref="C11:C40" si="0">$I11&amp;$C$9</f>
        <v>Caixa e equivalentes de caixa45626</v>
      </c>
      <c r="D11" s="1" t="str">
        <f t="shared" ref="D11:D40" si="1">$I11&amp;$D$9</f>
        <v>Caixa e equivalentes de caixa45291</v>
      </c>
      <c r="E11" s="1" t="str">
        <f t="shared" ref="E11:E40" si="2">$S11&amp;$E$9</f>
        <v>Fornecedores45657</v>
      </c>
      <c r="F11" s="1" t="str">
        <f t="shared" ref="F11:F40" si="3">$S11&amp;$F$9</f>
        <v>Fornecedores45626</v>
      </c>
      <c r="G11" s="1" t="str">
        <f t="shared" ref="G11:G60" si="4">$S11&amp;$G$9</f>
        <v>Fornecedores45291</v>
      </c>
      <c r="I11" s="27" t="s">
        <v>5</v>
      </c>
      <c r="J11" s="24">
        <v>6</v>
      </c>
      <c r="K11" s="24"/>
      <c r="L11" s="28">
        <v>390513.58257999999</v>
      </c>
      <c r="M11" s="28"/>
      <c r="N11" s="28">
        <v>395474.37385000003</v>
      </c>
      <c r="O11" s="28"/>
      <c r="P11" s="28">
        <v>355158.26047999994</v>
      </c>
      <c r="Q11" s="9"/>
      <c r="R11" s="9"/>
      <c r="S11" s="29" t="s">
        <v>6</v>
      </c>
      <c r="T11" s="24">
        <v>14</v>
      </c>
      <c r="U11" s="24"/>
      <c r="V11" s="28">
        <v>25823.945960000001</v>
      </c>
      <c r="W11" s="28"/>
      <c r="X11" s="28">
        <v>20758.39876</v>
      </c>
      <c r="Y11" s="28"/>
      <c r="Z11" s="28">
        <v>14981.611999999999</v>
      </c>
      <c r="AA11" s="9"/>
      <c r="AB11" s="30"/>
    </row>
    <row r="12" spans="2:28">
      <c r="B12" s="1" t="str">
        <f t="shared" ref="B12:B40" si="5">$I12&amp;$B$9</f>
        <v>Valores de terceiros45657</v>
      </c>
      <c r="C12" s="1" t="str">
        <f t="shared" si="0"/>
        <v>Valores de terceiros45626</v>
      </c>
      <c r="D12" s="1" t="str">
        <f t="shared" si="1"/>
        <v>Valores de terceiros45291</v>
      </c>
      <c r="E12" s="1" t="str">
        <f t="shared" si="2"/>
        <v>Folha de pagamento/provisões/encargos 45657</v>
      </c>
      <c r="F12" s="1" t="str">
        <f t="shared" si="3"/>
        <v>Folha de pagamento/provisões/encargos 45626</v>
      </c>
      <c r="G12" s="1" t="str">
        <f t="shared" si="4"/>
        <v>Folha de pagamento/provisões/encargos 45291</v>
      </c>
      <c r="I12" s="31" t="s">
        <v>7</v>
      </c>
      <c r="J12" s="24">
        <v>7</v>
      </c>
      <c r="K12" s="24"/>
      <c r="L12" s="28">
        <v>1564.9814099999999</v>
      </c>
      <c r="M12" s="28"/>
      <c r="N12" s="28">
        <v>1558.43047</v>
      </c>
      <c r="O12" s="28"/>
      <c r="P12" s="28">
        <v>1711.2826599999999</v>
      </c>
      <c r="Q12" s="9"/>
      <c r="R12" s="9"/>
      <c r="S12" s="27" t="s">
        <v>8</v>
      </c>
      <c r="T12" s="24"/>
      <c r="U12" s="24"/>
      <c r="V12" s="28">
        <v>9066.6694300000017</v>
      </c>
      <c r="W12" s="28"/>
      <c r="X12" s="28">
        <v>14570.53026</v>
      </c>
      <c r="Y12" s="28"/>
      <c r="Z12" s="28">
        <v>7598.7648699999991</v>
      </c>
      <c r="AA12" s="30"/>
      <c r="AB12" s="30"/>
    </row>
    <row r="13" spans="2:28" ht="13.5" customHeight="1">
      <c r="B13" s="1" t="str">
        <f t="shared" si="5"/>
        <v>Contas a receber de clientes45657</v>
      </c>
      <c r="C13" s="1" t="str">
        <f t="shared" si="0"/>
        <v>Contas a receber de clientes45626</v>
      </c>
      <c r="D13" s="1" t="str">
        <f t="shared" si="1"/>
        <v>Contas a receber de clientes45291</v>
      </c>
      <c r="E13" s="1" t="str">
        <f>$S13&amp;$E$9</f>
        <v>Impostos e contribuições a recolher45657</v>
      </c>
      <c r="F13" s="1" t="str">
        <f>$S13&amp;$F$9</f>
        <v>Impostos e contribuições a recolher45626</v>
      </c>
      <c r="G13" s="1" t="str">
        <f>$S13&amp;$G$9</f>
        <v>Impostos e contribuições a recolher45291</v>
      </c>
      <c r="I13" s="29" t="s">
        <v>9</v>
      </c>
      <c r="J13" s="24">
        <v>8</v>
      </c>
      <c r="K13" s="24"/>
      <c r="L13" s="28">
        <v>25684.166100000002</v>
      </c>
      <c r="M13" s="28"/>
      <c r="N13" s="28">
        <v>26563.650969999999</v>
      </c>
      <c r="O13" s="28"/>
      <c r="P13" s="28">
        <v>27195.375599999999</v>
      </c>
      <c r="Q13" s="9"/>
      <c r="R13" s="9"/>
      <c r="S13" s="29" t="s">
        <v>10</v>
      </c>
      <c r="T13" s="24">
        <v>15</v>
      </c>
      <c r="U13" s="24"/>
      <c r="V13" s="28">
        <v>10408.597370000001</v>
      </c>
      <c r="W13" s="28"/>
      <c r="X13" s="28">
        <v>8327.0162500000006</v>
      </c>
      <c r="Y13" s="28"/>
      <c r="Z13" s="28">
        <v>7909.1153599999989</v>
      </c>
      <c r="AA13" s="30"/>
      <c r="AB13" s="30"/>
    </row>
    <row r="14" spans="2:28" ht="13.5" customHeight="1">
      <c r="B14" s="1" t="str">
        <f t="shared" si="5"/>
        <v>Almoxarifado45657</v>
      </c>
      <c r="C14" s="1" t="str">
        <f t="shared" si="0"/>
        <v>Almoxarifado45626</v>
      </c>
      <c r="D14" s="1" t="str">
        <f t="shared" si="1"/>
        <v>Almoxarifado45291</v>
      </c>
      <c r="E14" s="1" t="e">
        <f>#REF!&amp;$E$9</f>
        <v>#REF!</v>
      </c>
      <c r="F14" s="1" t="e">
        <f>#REF!&amp;$F$9</f>
        <v>#REF!</v>
      </c>
      <c r="G14" s="1" t="e">
        <f>#REF!&amp;$G$9</f>
        <v>#REF!</v>
      </c>
      <c r="I14" s="29" t="s">
        <v>11</v>
      </c>
      <c r="J14" s="24"/>
      <c r="K14" s="24"/>
      <c r="L14" s="28">
        <v>325.11379999999997</v>
      </c>
      <c r="M14" s="28"/>
      <c r="N14" s="28">
        <v>344.74079</v>
      </c>
      <c r="O14" s="28"/>
      <c r="P14" s="28">
        <v>306.06759999999997</v>
      </c>
      <c r="Q14" s="9"/>
      <c r="R14" s="9"/>
      <c r="S14" s="29" t="s">
        <v>12</v>
      </c>
      <c r="T14" s="24">
        <v>21</v>
      </c>
      <c r="U14" s="24"/>
      <c r="V14" s="28">
        <v>255328.82562000002</v>
      </c>
      <c r="W14" s="28"/>
      <c r="X14" s="28">
        <v>250344.87971000001</v>
      </c>
      <c r="Y14" s="28"/>
      <c r="Z14" s="28">
        <v>199911.40452000001</v>
      </c>
      <c r="AA14" s="30"/>
      <c r="AB14" s="30"/>
    </row>
    <row r="15" spans="2:28" ht="12" customHeight="1">
      <c r="B15" s="1" t="str">
        <f t="shared" si="5"/>
        <v>Impostos e contribuições a recuperar45657</v>
      </c>
      <c r="C15" s="1" t="str">
        <f t="shared" si="0"/>
        <v>Impostos e contribuições a recuperar45626</v>
      </c>
      <c r="D15" s="1" t="str">
        <f t="shared" si="1"/>
        <v>Impostos e contribuições a recuperar45291</v>
      </c>
      <c r="E15" s="1" t="str">
        <f t="shared" ref="E15:E37" si="6">$S14&amp;$E$9</f>
        <v>Juros sobre capital próprio45657</v>
      </c>
      <c r="F15" s="1" t="str">
        <f t="shared" ref="F15:F37" si="7">$S14&amp;$F$9</f>
        <v>Juros sobre capital próprio45626</v>
      </c>
      <c r="G15" s="1" t="str">
        <f t="shared" ref="G15:G37" si="8">$S14&amp;$G$9</f>
        <v>Juros sobre capital próprio45291</v>
      </c>
      <c r="I15" s="29" t="s">
        <v>13</v>
      </c>
      <c r="J15" s="24">
        <v>9</v>
      </c>
      <c r="K15" s="24"/>
      <c r="L15" s="28">
        <v>182.68998999999999</v>
      </c>
      <c r="M15" s="28"/>
      <c r="N15" s="28">
        <v>8320.0893599999999</v>
      </c>
      <c r="O15" s="28"/>
      <c r="P15" s="28">
        <v>3696.36492</v>
      </c>
      <c r="Q15" s="9"/>
      <c r="R15" s="9"/>
      <c r="S15" s="29" t="s">
        <v>14</v>
      </c>
      <c r="V15" s="28">
        <v>12998.694810000001</v>
      </c>
      <c r="W15" s="28"/>
      <c r="X15" s="28">
        <v>10899.224829999999</v>
      </c>
      <c r="Y15" s="28"/>
      <c r="Z15" s="28">
        <v>11815.97676</v>
      </c>
      <c r="AA15" s="30"/>
      <c r="AB15" s="30"/>
    </row>
    <row r="16" spans="2:28" ht="14.25" customHeight="1">
      <c r="B16" s="1" t="str">
        <f t="shared" si="5"/>
        <v>Outras contas a receber45657</v>
      </c>
      <c r="C16" s="1" t="str">
        <f t="shared" si="0"/>
        <v>Outras contas a receber45626</v>
      </c>
      <c r="D16" s="1" t="str">
        <f t="shared" si="1"/>
        <v>Outras contas a receber45291</v>
      </c>
      <c r="E16" s="1" t="str">
        <f t="shared" si="6"/>
        <v>Provisão participação nos resultados45657</v>
      </c>
      <c r="F16" s="1" t="str">
        <f t="shared" si="7"/>
        <v>Provisão participação nos resultados45626</v>
      </c>
      <c r="G16" s="1" t="str">
        <f t="shared" si="8"/>
        <v>Provisão participação nos resultados45291</v>
      </c>
      <c r="I16" s="29" t="s">
        <v>15</v>
      </c>
      <c r="J16" s="24"/>
      <c r="K16" s="24"/>
      <c r="L16" s="28">
        <v>484.88571000000002</v>
      </c>
      <c r="M16" s="28"/>
      <c r="N16" s="28">
        <v>2843.1618800000001</v>
      </c>
      <c r="O16" s="28"/>
      <c r="P16" s="28">
        <v>332.80365999999998</v>
      </c>
      <c r="Q16" s="9"/>
      <c r="R16" s="9"/>
      <c r="S16" s="27" t="s">
        <v>16</v>
      </c>
      <c r="T16" s="24">
        <v>17</v>
      </c>
      <c r="U16" s="24"/>
      <c r="V16" s="28">
        <v>6080.9672599999994</v>
      </c>
      <c r="W16" s="28"/>
      <c r="X16" s="28">
        <v>6080.9672599999994</v>
      </c>
      <c r="Y16" s="28"/>
      <c r="Z16" s="28">
        <v>6080.9672599999994</v>
      </c>
      <c r="AA16" s="30"/>
      <c r="AB16" s="9"/>
    </row>
    <row r="17" spans="2:30" ht="14.25" customHeight="1">
      <c r="B17" s="1" t="str">
        <f t="shared" si="5"/>
        <v>Direitos de outorga45657</v>
      </c>
      <c r="C17" s="1" t="str">
        <f t="shared" si="0"/>
        <v>Direitos de outorga45626</v>
      </c>
      <c r="D17" s="1" t="str">
        <f t="shared" si="1"/>
        <v>Direitos de outorga45291</v>
      </c>
      <c r="E17" s="1" t="str">
        <f t="shared" si="6"/>
        <v>Arrendamento tegram a apropriar45657</v>
      </c>
      <c r="F17" s="1" t="str">
        <f t="shared" si="7"/>
        <v>Arrendamento tegram a apropriar45626</v>
      </c>
      <c r="G17" s="1" t="str">
        <f t="shared" si="8"/>
        <v>Arrendamento tegram a apropriar45291</v>
      </c>
      <c r="I17" s="27" t="s">
        <v>17</v>
      </c>
      <c r="J17" s="24">
        <v>10</v>
      </c>
      <c r="K17" s="24"/>
      <c r="L17" s="28">
        <v>32445</v>
      </c>
      <c r="M17" s="28"/>
      <c r="N17" s="28">
        <v>32445</v>
      </c>
      <c r="O17" s="28"/>
      <c r="P17" s="28">
        <v>32445</v>
      </c>
      <c r="Q17" s="9"/>
      <c r="S17" s="29" t="s">
        <v>18</v>
      </c>
      <c r="T17" s="24">
        <v>18</v>
      </c>
      <c r="U17" s="24"/>
      <c r="V17" s="28">
        <v>3619.4576800000004</v>
      </c>
      <c r="W17" s="28"/>
      <c r="X17" s="28">
        <v>3573.2915600000001</v>
      </c>
      <c r="Y17" s="28"/>
      <c r="Z17" s="28">
        <v>3969.0023499999998</v>
      </c>
      <c r="AA17" s="9"/>
      <c r="AB17" s="30"/>
    </row>
    <row r="18" spans="2:30" ht="15" customHeight="1">
      <c r="B18" s="1" t="str">
        <f t="shared" si="5"/>
        <v>45657</v>
      </c>
      <c r="C18" s="1" t="str">
        <f t="shared" si="0"/>
        <v>45626</v>
      </c>
      <c r="D18" s="1" t="str">
        <f t="shared" si="1"/>
        <v>45291</v>
      </c>
      <c r="E18" s="1" t="str">
        <f t="shared" si="6"/>
        <v>Outras contas a pagar45657</v>
      </c>
      <c r="F18" s="1" t="str">
        <f t="shared" si="7"/>
        <v>Outras contas a pagar45626</v>
      </c>
      <c r="G18" s="1" t="str">
        <f t="shared" si="8"/>
        <v>Outras contas a pagar45291</v>
      </c>
      <c r="S18" s="27" t="s">
        <v>19</v>
      </c>
      <c r="T18" s="24">
        <v>10</v>
      </c>
      <c r="U18" s="24"/>
      <c r="V18" s="28">
        <v>32445</v>
      </c>
      <c r="W18" s="28"/>
      <c r="X18" s="28">
        <v>32445</v>
      </c>
      <c r="Y18" s="28"/>
      <c r="Z18" s="28">
        <v>32445</v>
      </c>
      <c r="AA18" s="9"/>
      <c r="AB18" s="9"/>
    </row>
    <row r="19" spans="2:30">
      <c r="B19" s="1" t="str">
        <f t="shared" si="5"/>
        <v>45657</v>
      </c>
      <c r="C19" s="1" t="str">
        <f t="shared" si="0"/>
        <v>45626</v>
      </c>
      <c r="D19" s="1" t="str">
        <f t="shared" si="1"/>
        <v>45291</v>
      </c>
      <c r="E19" s="1" t="str">
        <f t="shared" si="6"/>
        <v>Outorgas a apropriar45657</v>
      </c>
      <c r="F19" s="1" t="str">
        <f t="shared" si="7"/>
        <v>Outorgas a apropriar45626</v>
      </c>
      <c r="G19" s="1" t="str">
        <f t="shared" si="8"/>
        <v>Outorgas a apropriar45291</v>
      </c>
      <c r="L19" s="17"/>
      <c r="R19" s="22"/>
      <c r="T19" s="24"/>
      <c r="U19" s="24"/>
      <c r="V19" s="32"/>
      <c r="W19" s="32"/>
      <c r="X19" s="32"/>
      <c r="Y19" s="32"/>
      <c r="Z19" s="32"/>
      <c r="AA19" s="9"/>
    </row>
    <row r="20" spans="2:30" ht="14.25" customHeight="1">
      <c r="B20" s="1" t="str">
        <f t="shared" si="5"/>
        <v>45657</v>
      </c>
      <c r="C20" s="1" t="str">
        <f t="shared" si="0"/>
        <v>45626</v>
      </c>
      <c r="D20" s="1" t="str">
        <f t="shared" si="1"/>
        <v>45291</v>
      </c>
      <c r="E20" s="1" t="str">
        <f t="shared" si="6"/>
        <v>45657</v>
      </c>
      <c r="F20" s="1" t="str">
        <f t="shared" si="7"/>
        <v>45626</v>
      </c>
      <c r="G20" s="1" t="str">
        <f t="shared" si="8"/>
        <v>45291</v>
      </c>
      <c r="I20" s="22"/>
      <c r="J20" s="24"/>
      <c r="K20" s="24"/>
      <c r="L20" s="32"/>
      <c r="M20" s="32"/>
      <c r="N20" s="32"/>
      <c r="O20" s="32"/>
      <c r="P20" s="32"/>
      <c r="S20" s="22" t="s">
        <v>20</v>
      </c>
      <c r="V20" s="33">
        <f>+SUM(V11:V18)</f>
        <v>355772.15813000005</v>
      </c>
      <c r="W20" s="32"/>
      <c r="X20" s="33">
        <f>+SUM(X11:X18)</f>
        <v>346999.30863000004</v>
      </c>
      <c r="Y20" s="32"/>
      <c r="Z20" s="33">
        <f>+SUM(Z11:Z18)</f>
        <v>284711.84311999998</v>
      </c>
    </row>
    <row r="21" spans="2:30" ht="14.25" customHeight="1">
      <c r="B21" s="1" t="str">
        <f t="shared" si="5"/>
        <v>Total do ativo circulante45657</v>
      </c>
      <c r="C21" s="1" t="str">
        <f t="shared" si="0"/>
        <v>Total do ativo circulante45626</v>
      </c>
      <c r="D21" s="1" t="str">
        <f t="shared" si="1"/>
        <v>Total do ativo circulante45291</v>
      </c>
      <c r="E21" s="1" t="str">
        <f t="shared" si="6"/>
        <v>Total do passivo circulante45657</v>
      </c>
      <c r="F21" s="1" t="str">
        <f t="shared" si="7"/>
        <v>Total do passivo circulante45626</v>
      </c>
      <c r="G21" s="1" t="str">
        <f t="shared" si="8"/>
        <v>Total do passivo circulante45291</v>
      </c>
      <c r="I21" s="22" t="s">
        <v>21</v>
      </c>
      <c r="J21" s="24"/>
      <c r="K21" s="24"/>
      <c r="L21" s="34">
        <f>SUM(L11:L17)</f>
        <v>451200.41958999995</v>
      </c>
      <c r="M21" s="17"/>
      <c r="N21" s="34">
        <f>SUM(N11:N17)</f>
        <v>467549.44732000009</v>
      </c>
      <c r="O21" s="17"/>
      <c r="P21" s="34">
        <f>SUM(P11:P17)-1</f>
        <v>420844.15492</v>
      </c>
      <c r="T21" s="24"/>
      <c r="U21" s="24"/>
      <c r="V21" s="17"/>
      <c r="W21" s="17"/>
      <c r="X21" s="17"/>
      <c r="Y21" s="17"/>
      <c r="Z21" s="17"/>
    </row>
    <row r="22" spans="2:30">
      <c r="B22" s="1" t="str">
        <f t="shared" si="5"/>
        <v>45657</v>
      </c>
      <c r="C22" s="1" t="str">
        <f t="shared" si="0"/>
        <v>45626</v>
      </c>
      <c r="D22" s="1" t="str">
        <f t="shared" si="1"/>
        <v>45291</v>
      </c>
      <c r="E22" s="1" t="str">
        <f t="shared" si="6"/>
        <v>45657</v>
      </c>
      <c r="F22" s="1" t="str">
        <f t="shared" si="7"/>
        <v>45626</v>
      </c>
      <c r="G22" s="1" t="str">
        <f t="shared" si="8"/>
        <v>45291</v>
      </c>
      <c r="J22" s="1"/>
      <c r="K22" s="1"/>
      <c r="L22" s="1"/>
      <c r="M22" s="1"/>
      <c r="N22" s="1"/>
      <c r="O22" s="1"/>
      <c r="P22" s="1"/>
      <c r="R22" s="3" t="s">
        <v>22</v>
      </c>
      <c r="S22" s="3"/>
      <c r="T22" s="3"/>
      <c r="U22" s="3"/>
      <c r="V22" s="17"/>
      <c r="W22" s="17"/>
      <c r="X22" s="17"/>
      <c r="Y22" s="17"/>
      <c r="Z22" s="17"/>
    </row>
    <row r="23" spans="2:30">
      <c r="B23" s="1" t="str">
        <f t="shared" si="5"/>
        <v>45657</v>
      </c>
      <c r="C23" s="1" t="str">
        <f t="shared" si="0"/>
        <v>45626</v>
      </c>
      <c r="D23" s="1" t="str">
        <f t="shared" si="1"/>
        <v>45291</v>
      </c>
      <c r="E23" s="1" t="str">
        <f t="shared" si="6"/>
        <v>45657</v>
      </c>
      <c r="F23" s="1" t="str">
        <f t="shared" si="7"/>
        <v>45626</v>
      </c>
      <c r="G23" s="1" t="str">
        <f t="shared" si="8"/>
        <v>45291</v>
      </c>
      <c r="H23" s="3" t="s">
        <v>22</v>
      </c>
      <c r="I23" s="3"/>
      <c r="J23" s="24"/>
      <c r="K23" s="24"/>
      <c r="L23" s="17"/>
      <c r="M23" s="17"/>
      <c r="N23" s="17"/>
      <c r="O23" s="17"/>
      <c r="P23" s="17"/>
      <c r="T23" s="24"/>
      <c r="U23" s="24"/>
      <c r="V23" s="17"/>
      <c r="W23" s="17"/>
      <c r="X23" s="17"/>
      <c r="Y23" s="17"/>
      <c r="Z23" s="17"/>
    </row>
    <row r="24" spans="2:30" ht="12.75" customHeight="1">
      <c r="B24" s="1" t="str">
        <f t="shared" si="5"/>
        <v>Contas a receber de clientes.45657</v>
      </c>
      <c r="C24" s="1" t="str">
        <f t="shared" si="0"/>
        <v>Contas a receber de clientes.45626</v>
      </c>
      <c r="D24" s="1" t="str">
        <f t="shared" si="1"/>
        <v>Contas a receber de clientes.45291</v>
      </c>
      <c r="E24" s="1" t="str">
        <f t="shared" si="6"/>
        <v>45657</v>
      </c>
      <c r="F24" s="1" t="str">
        <f t="shared" si="7"/>
        <v>45626</v>
      </c>
      <c r="G24" s="1" t="str">
        <f t="shared" si="8"/>
        <v>45291</v>
      </c>
      <c r="H24" s="3"/>
      <c r="I24" s="27" t="s">
        <v>23</v>
      </c>
      <c r="J24" s="24">
        <v>8</v>
      </c>
      <c r="K24" s="24"/>
      <c r="L24" s="28">
        <v>750.4659800000004</v>
      </c>
      <c r="M24" s="28"/>
      <c r="N24" s="28">
        <v>11133.115089999999</v>
      </c>
      <c r="O24" s="28"/>
      <c r="P24" s="28">
        <v>0</v>
      </c>
      <c r="Q24" s="9"/>
      <c r="R24" s="9"/>
      <c r="S24" s="31" t="s">
        <v>24</v>
      </c>
      <c r="T24" s="24">
        <v>17</v>
      </c>
      <c r="U24" s="24"/>
      <c r="V24" s="28">
        <v>67398.672900000005</v>
      </c>
      <c r="W24" s="28"/>
      <c r="X24" s="28">
        <v>67905.420169999998</v>
      </c>
      <c r="Y24" s="28"/>
      <c r="Z24" s="28">
        <v>73479.640140000003</v>
      </c>
      <c r="AA24" s="30"/>
      <c r="AB24" s="30"/>
    </row>
    <row r="25" spans="2:30">
      <c r="B25" s="1" t="str">
        <f t="shared" si="5"/>
        <v>Depósitos Judiciais 45657</v>
      </c>
      <c r="C25" s="1" t="str">
        <f t="shared" si="0"/>
        <v>Depósitos Judiciais 45626</v>
      </c>
      <c r="D25" s="1" t="str">
        <f t="shared" si="1"/>
        <v>Depósitos Judiciais 45291</v>
      </c>
      <c r="E25" s="1" t="str">
        <f t="shared" si="6"/>
        <v>Arrendamento tegram a apropriar.45657</v>
      </c>
      <c r="F25" s="1" t="str">
        <f t="shared" si="7"/>
        <v>Arrendamento tegram a apropriar.45626</v>
      </c>
      <c r="G25" s="1" t="str">
        <f t="shared" si="8"/>
        <v>Arrendamento tegram a apropriar.45291</v>
      </c>
      <c r="H25" s="3"/>
      <c r="I25" s="29" t="s">
        <v>25</v>
      </c>
      <c r="J25" s="24">
        <v>11</v>
      </c>
      <c r="K25" s="24"/>
      <c r="L25" s="28">
        <v>4322.1812399999999</v>
      </c>
      <c r="M25" s="28"/>
      <c r="N25" s="28">
        <v>4318.0074100000002</v>
      </c>
      <c r="O25" s="28"/>
      <c r="P25" s="28">
        <v>4502.3804600000003</v>
      </c>
      <c r="Q25" s="9"/>
      <c r="S25" s="1" t="s">
        <v>26</v>
      </c>
      <c r="T25" s="24">
        <v>19</v>
      </c>
      <c r="U25" s="24"/>
      <c r="V25" s="28">
        <v>16207.1196</v>
      </c>
      <c r="W25" s="28"/>
      <c r="X25" s="28">
        <v>285260.82091000001</v>
      </c>
      <c r="Y25" s="28"/>
      <c r="Z25" s="28">
        <v>294323.60683999996</v>
      </c>
      <c r="AA25" s="30"/>
      <c r="AB25" s="9"/>
    </row>
    <row r="26" spans="2:30">
      <c r="B26" s="1" t="str">
        <f t="shared" si="5"/>
        <v>Impostos e contribuições a recuperar.45657</v>
      </c>
      <c r="C26" s="1" t="str">
        <f t="shared" si="0"/>
        <v>Impostos e contribuições a recuperar.45626</v>
      </c>
      <c r="D26" s="1" t="str">
        <f t="shared" si="1"/>
        <v>Impostos e contribuições a recuperar.45291</v>
      </c>
      <c r="E26" s="1" t="str">
        <f t="shared" si="6"/>
        <v>Convênios a comprovar45657</v>
      </c>
      <c r="F26" s="1" t="str">
        <f t="shared" si="7"/>
        <v>Convênios a comprovar45626</v>
      </c>
      <c r="G26" s="1" t="str">
        <f t="shared" si="8"/>
        <v>Convênios a comprovar45291</v>
      </c>
      <c r="H26" s="3"/>
      <c r="I26" s="27" t="s">
        <v>27</v>
      </c>
      <c r="J26" s="24">
        <v>9</v>
      </c>
      <c r="K26" s="24"/>
      <c r="L26" s="28">
        <v>33815.707569999999</v>
      </c>
      <c r="M26" s="28"/>
      <c r="N26" s="28">
        <v>24422.194299999999</v>
      </c>
      <c r="O26" s="28"/>
      <c r="P26" s="28">
        <v>24422.38593</v>
      </c>
      <c r="Q26" s="9"/>
      <c r="S26" s="29" t="s">
        <v>28</v>
      </c>
      <c r="T26" s="24">
        <v>16</v>
      </c>
      <c r="U26" s="24"/>
      <c r="V26" s="28">
        <v>1220.5357900000001</v>
      </c>
      <c r="W26" s="28"/>
      <c r="X26" s="28">
        <v>1220.5357900000001</v>
      </c>
      <c r="Y26" s="28"/>
      <c r="Z26" s="28">
        <v>1176.5963100000001</v>
      </c>
      <c r="AA26" s="30"/>
      <c r="AB26" s="30"/>
      <c r="AC26" s="9"/>
    </row>
    <row r="27" spans="2:30">
      <c r="B27" s="1" t="str">
        <f t="shared" si="5"/>
        <v>Direitos de outorga.45657</v>
      </c>
      <c r="C27" s="1" t="str">
        <f t="shared" si="0"/>
        <v>Direitos de outorga.45626</v>
      </c>
      <c r="D27" s="1" t="str">
        <f t="shared" si="1"/>
        <v>Direitos de outorga.45291</v>
      </c>
      <c r="E27" s="1" t="str">
        <f t="shared" si="6"/>
        <v>Provisão para contingências45657</v>
      </c>
      <c r="F27" s="1" t="str">
        <f t="shared" si="7"/>
        <v>Provisão para contingências45626</v>
      </c>
      <c r="G27" s="1" t="str">
        <f t="shared" si="8"/>
        <v>Provisão para contingências45291</v>
      </c>
      <c r="H27" s="3"/>
      <c r="I27" s="27" t="s">
        <v>29</v>
      </c>
      <c r="J27" s="24">
        <v>10</v>
      </c>
      <c r="K27" s="24"/>
      <c r="L27" s="28">
        <v>64890</v>
      </c>
      <c r="M27" s="28"/>
      <c r="N27" s="28">
        <v>64890</v>
      </c>
      <c r="O27" s="28"/>
      <c r="P27" s="28">
        <v>97335</v>
      </c>
      <c r="Q27" s="9"/>
      <c r="R27" s="29"/>
      <c r="S27" s="27" t="s">
        <v>30</v>
      </c>
      <c r="T27" s="24">
        <v>10</v>
      </c>
      <c r="U27" s="24"/>
      <c r="V27" s="28">
        <v>64890</v>
      </c>
      <c r="W27" s="28"/>
      <c r="X27" s="28">
        <v>64890</v>
      </c>
      <c r="Y27" s="28"/>
      <c r="Z27" s="28">
        <v>97335</v>
      </c>
      <c r="AA27" s="35"/>
      <c r="AB27" s="35"/>
    </row>
    <row r="28" spans="2:30">
      <c r="B28" s="1" t="str">
        <f>$I28&amp;$B$9</f>
        <v>Bens de Terceiros - Bens da União45657</v>
      </c>
      <c r="C28" s="1" t="str">
        <f t="shared" si="0"/>
        <v>Bens de Terceiros - Bens da União45626</v>
      </c>
      <c r="D28" s="1" t="str">
        <f t="shared" si="1"/>
        <v>Bens de Terceiros - Bens da União45291</v>
      </c>
      <c r="E28" s="1" t="str">
        <f t="shared" si="6"/>
        <v>Outorgas a apropriar.45657</v>
      </c>
      <c r="F28" s="1" t="str">
        <f t="shared" si="7"/>
        <v>Outorgas a apropriar.45626</v>
      </c>
      <c r="G28" s="1" t="str">
        <f t="shared" si="8"/>
        <v>Outorgas a apropriar.45291</v>
      </c>
      <c r="H28" s="3"/>
      <c r="I28" s="27" t="s">
        <v>31</v>
      </c>
      <c r="J28" s="24">
        <v>12</v>
      </c>
      <c r="K28" s="24"/>
      <c r="L28" s="28">
        <v>1127653.99868</v>
      </c>
      <c r="M28" s="28"/>
      <c r="N28" s="28">
        <v>1112113.2097400001</v>
      </c>
      <c r="O28" s="28"/>
      <c r="P28" s="28">
        <v>1057218.64023</v>
      </c>
      <c r="Q28" s="9"/>
      <c r="R28" s="29"/>
      <c r="S28" s="1" t="s">
        <v>32</v>
      </c>
      <c r="T28" s="24">
        <v>20</v>
      </c>
      <c r="V28" s="28">
        <v>243773.34356000001</v>
      </c>
      <c r="W28" s="9"/>
      <c r="X28" s="9"/>
      <c r="Y28" s="9"/>
      <c r="Z28" s="28">
        <v>0</v>
      </c>
      <c r="AA28" s="9"/>
      <c r="AB28" s="9"/>
    </row>
    <row r="29" spans="2:30">
      <c r="B29" s="1" t="str">
        <f t="shared" si="5"/>
        <v>Intangível45657</v>
      </c>
      <c r="C29" s="1" t="str">
        <f t="shared" si="0"/>
        <v>Intangível45626</v>
      </c>
      <c r="D29" s="1" t="str">
        <f t="shared" si="1"/>
        <v>Intangível45291</v>
      </c>
      <c r="E29" s="1" t="str">
        <f t="shared" si="6"/>
        <v>Subvenções a apropriar45657</v>
      </c>
      <c r="F29" s="1" t="str">
        <f t="shared" si="7"/>
        <v>Subvenções a apropriar45626</v>
      </c>
      <c r="G29" s="1" t="str">
        <f t="shared" si="8"/>
        <v>Subvenções a apropriar45291</v>
      </c>
      <c r="I29" s="29" t="s">
        <v>33</v>
      </c>
      <c r="J29" s="24">
        <v>13</v>
      </c>
      <c r="K29" s="24"/>
      <c r="L29" s="28">
        <v>27228.62875</v>
      </c>
      <c r="M29" s="28"/>
      <c r="N29" s="28">
        <v>25894.403600000001</v>
      </c>
      <c r="O29" s="28"/>
      <c r="P29" s="28">
        <v>22060.781010000002</v>
      </c>
      <c r="Q29" s="9"/>
      <c r="R29" s="29"/>
      <c r="T29" s="24"/>
      <c r="U29" s="24"/>
      <c r="V29" s="9"/>
      <c r="W29" s="9"/>
      <c r="X29" s="9"/>
      <c r="Y29" s="9"/>
      <c r="Z29" s="9"/>
      <c r="AA29" s="30"/>
      <c r="AC29" s="9"/>
    </row>
    <row r="30" spans="2:30" ht="12.75" customHeight="1">
      <c r="B30" s="1" t="str">
        <f t="shared" si="5"/>
        <v>45657</v>
      </c>
      <c r="C30" s="1" t="str">
        <f t="shared" si="0"/>
        <v>45626</v>
      </c>
      <c r="D30" s="1" t="str">
        <f t="shared" si="1"/>
        <v>45291</v>
      </c>
      <c r="E30" s="1" t="str">
        <f t="shared" si="6"/>
        <v>45657</v>
      </c>
      <c r="F30" s="1" t="str">
        <f t="shared" si="7"/>
        <v>45626</v>
      </c>
      <c r="G30" s="1" t="str">
        <f t="shared" si="8"/>
        <v>45291</v>
      </c>
      <c r="I30" s="29"/>
      <c r="J30" s="24"/>
      <c r="K30" s="24"/>
      <c r="L30" s="9"/>
      <c r="M30" s="9"/>
      <c r="N30" s="9"/>
      <c r="O30" s="9"/>
      <c r="P30" s="9"/>
      <c r="S30" s="3" t="s">
        <v>34</v>
      </c>
      <c r="V30" s="33">
        <f>+SUM(V24:V28)</f>
        <v>393489.67185000004</v>
      </c>
      <c r="W30" s="32"/>
      <c r="X30" s="33">
        <f>+SUM(X24:X28)</f>
        <v>419276.77687</v>
      </c>
      <c r="Y30" s="32"/>
      <c r="Z30" s="33">
        <f>+SUM(Z24:Z28)</f>
        <v>466314.84328999993</v>
      </c>
      <c r="AA30" s="9"/>
    </row>
    <row r="31" spans="2:30">
      <c r="B31" s="1" t="str">
        <f t="shared" si="5"/>
        <v>Total do ativo não circulante45657</v>
      </c>
      <c r="C31" s="1" t="str">
        <f t="shared" si="0"/>
        <v>Total do ativo não circulante45626</v>
      </c>
      <c r="D31" s="1" t="str">
        <f t="shared" si="1"/>
        <v>Total do ativo não circulante45291</v>
      </c>
      <c r="E31" s="1" t="str">
        <f t="shared" si="6"/>
        <v>Total do passivo não circulante45657</v>
      </c>
      <c r="F31" s="1" t="str">
        <f t="shared" si="7"/>
        <v>Total do passivo não circulante45626</v>
      </c>
      <c r="G31" s="1" t="str">
        <f t="shared" si="8"/>
        <v>Total do passivo não circulante45291</v>
      </c>
      <c r="I31" s="22" t="s">
        <v>35</v>
      </c>
      <c r="J31" s="24"/>
      <c r="K31" s="24"/>
      <c r="L31" s="34">
        <f>+SUM(L24:L29)</f>
        <v>1258660.9822199999</v>
      </c>
      <c r="M31" s="9"/>
      <c r="N31" s="36">
        <f>+SUM(N24:N29)</f>
        <v>1242770.9301400001</v>
      </c>
      <c r="O31" s="9"/>
      <c r="P31" s="34">
        <f>+SUM(P24:P29)</f>
        <v>1205539.1876300001</v>
      </c>
      <c r="T31" s="24"/>
      <c r="U31" s="24"/>
      <c r="V31" s="17"/>
      <c r="W31" s="17"/>
      <c r="X31" s="17"/>
      <c r="Y31" s="17"/>
      <c r="Z31" s="17"/>
    </row>
    <row r="32" spans="2:30" ht="15">
      <c r="B32" s="1" t="str">
        <f t="shared" si="5"/>
        <v>45657</v>
      </c>
      <c r="C32" s="1" t="str">
        <f t="shared" si="0"/>
        <v>45626</v>
      </c>
      <c r="D32" s="1" t="str">
        <f t="shared" si="1"/>
        <v>45291</v>
      </c>
      <c r="E32" s="1" t="str">
        <f t="shared" si="6"/>
        <v>45657</v>
      </c>
      <c r="F32" s="1" t="str">
        <f t="shared" si="7"/>
        <v>45626</v>
      </c>
      <c r="G32" s="1" t="str">
        <f t="shared" si="8"/>
        <v>45291</v>
      </c>
      <c r="L32" s="17"/>
      <c r="M32" s="17"/>
      <c r="N32" s="17"/>
      <c r="O32" s="17"/>
      <c r="P32" s="17"/>
      <c r="R32" s="3" t="s">
        <v>36</v>
      </c>
      <c r="T32" s="24">
        <v>22</v>
      </c>
      <c r="V32" s="17"/>
      <c r="W32" s="17"/>
      <c r="X32" s="17"/>
      <c r="Y32" s="17"/>
      <c r="Z32" s="17"/>
      <c r="AC32" s="37"/>
      <c r="AD32" s="37"/>
    </row>
    <row r="33" spans="2:31">
      <c r="B33" s="1" t="str">
        <f t="shared" si="5"/>
        <v>45657</v>
      </c>
      <c r="C33" s="1" t="str">
        <f t="shared" si="0"/>
        <v>45626</v>
      </c>
      <c r="D33" s="1" t="str">
        <f t="shared" si="1"/>
        <v>45291</v>
      </c>
      <c r="E33" s="1" t="str">
        <f t="shared" si="6"/>
        <v>45657</v>
      </c>
      <c r="F33" s="1" t="str">
        <f t="shared" si="7"/>
        <v>45626</v>
      </c>
      <c r="G33" s="1" t="str">
        <f t="shared" si="8"/>
        <v>45291</v>
      </c>
      <c r="L33" s="17"/>
      <c r="M33" s="17"/>
      <c r="N33" s="17"/>
      <c r="O33" s="17"/>
      <c r="P33" s="17"/>
      <c r="R33" s="3"/>
      <c r="V33" s="17"/>
      <c r="W33" s="17"/>
      <c r="X33" s="17"/>
      <c r="Y33" s="17"/>
      <c r="Z33" s="17"/>
      <c r="AD33" s="9"/>
      <c r="AE33" s="31"/>
    </row>
    <row r="34" spans="2:31">
      <c r="B34" s="1" t="str">
        <f t="shared" si="5"/>
        <v>45657</v>
      </c>
      <c r="C34" s="1" t="str">
        <f t="shared" si="0"/>
        <v>45626</v>
      </c>
      <c r="D34" s="1" t="str">
        <f t="shared" si="1"/>
        <v>45291</v>
      </c>
      <c r="E34" s="1" t="str">
        <f t="shared" si="6"/>
        <v>45657</v>
      </c>
      <c r="F34" s="1" t="str">
        <f t="shared" si="7"/>
        <v>45626</v>
      </c>
      <c r="G34" s="1" t="str">
        <f t="shared" si="8"/>
        <v>45291</v>
      </c>
      <c r="L34" s="17"/>
      <c r="M34" s="17"/>
      <c r="N34" s="17"/>
      <c r="O34" s="17"/>
      <c r="P34" s="17"/>
      <c r="S34" s="29" t="s">
        <v>37</v>
      </c>
      <c r="U34" s="24"/>
      <c r="V34" s="28">
        <v>370668.39179999998</v>
      </c>
      <c r="W34" s="28"/>
      <c r="X34" s="28">
        <v>370668.39179999998</v>
      </c>
      <c r="Y34" s="28"/>
      <c r="Z34" s="28">
        <v>370668.39179999998</v>
      </c>
      <c r="AB34" s="9"/>
      <c r="AD34" s="9"/>
    </row>
    <row r="35" spans="2:31">
      <c r="B35" s="1" t="str">
        <f t="shared" si="5"/>
        <v>45657</v>
      </c>
      <c r="C35" s="1" t="str">
        <f t="shared" si="0"/>
        <v>45626</v>
      </c>
      <c r="D35" s="1" t="str">
        <f t="shared" si="1"/>
        <v>45291</v>
      </c>
      <c r="E35" s="1" t="str">
        <f t="shared" si="6"/>
        <v>Capital Social45657</v>
      </c>
      <c r="F35" s="1" t="str">
        <f t="shared" si="7"/>
        <v>Capital Social45626</v>
      </c>
      <c r="G35" s="1" t="str">
        <f t="shared" si="8"/>
        <v>Capital Social45291</v>
      </c>
      <c r="H35" s="3"/>
      <c r="I35" s="3"/>
      <c r="J35" s="24"/>
      <c r="K35" s="24"/>
      <c r="L35" s="38"/>
      <c r="M35" s="17"/>
      <c r="N35" s="17"/>
      <c r="O35" s="17"/>
      <c r="P35" s="17"/>
      <c r="S35" s="27" t="s">
        <v>38</v>
      </c>
      <c r="V35" s="28">
        <v>589931.18002999993</v>
      </c>
      <c r="W35" s="28"/>
      <c r="X35" s="28">
        <v>504688.26433999999</v>
      </c>
      <c r="Y35" s="28"/>
      <c r="Z35" s="28">
        <v>504688.26433999999</v>
      </c>
      <c r="AB35" s="9"/>
    </row>
    <row r="36" spans="2:31" hidden="1" outlineLevel="1">
      <c r="B36" s="1" t="str">
        <f t="shared" si="5"/>
        <v>45657</v>
      </c>
      <c r="C36" s="1" t="str">
        <f t="shared" si="0"/>
        <v>45626</v>
      </c>
      <c r="D36" s="1" t="str">
        <f t="shared" si="1"/>
        <v>45291</v>
      </c>
      <c r="E36" s="1" t="str">
        <f t="shared" si="6"/>
        <v>Reservas e retenção de lucros45657</v>
      </c>
      <c r="F36" s="1" t="str">
        <f t="shared" si="7"/>
        <v>Reservas e retenção de lucros45626</v>
      </c>
      <c r="G36" s="1" t="str">
        <f t="shared" si="8"/>
        <v>Reservas e retenção de lucros45291</v>
      </c>
      <c r="L36" s="39"/>
      <c r="M36" s="17"/>
      <c r="N36" s="17"/>
      <c r="O36" s="17"/>
      <c r="P36" s="17"/>
      <c r="S36" s="27" t="s">
        <v>39</v>
      </c>
      <c r="V36" s="28">
        <v>0</v>
      </c>
      <c r="W36" s="28"/>
      <c r="X36" s="28">
        <v>68469.096829999995</v>
      </c>
      <c r="Y36" s="28"/>
      <c r="Z36" s="28">
        <v>0</v>
      </c>
    </row>
    <row r="37" spans="2:31" collapsed="1">
      <c r="B37" s="1" t="str">
        <f t="shared" si="5"/>
        <v>45657</v>
      </c>
      <c r="C37" s="1" t="str">
        <f t="shared" si="0"/>
        <v>45626</v>
      </c>
      <c r="D37" s="1" t="str">
        <f t="shared" si="1"/>
        <v>45291</v>
      </c>
      <c r="E37" s="1" t="str">
        <f t="shared" si="6"/>
        <v>Lucro/prejuízo do período45657</v>
      </c>
      <c r="F37" s="1" t="str">
        <f t="shared" si="7"/>
        <v>Lucro/prejuízo do período45626</v>
      </c>
      <c r="G37" s="1" t="str">
        <f t="shared" si="8"/>
        <v>Lucro/prejuízo do período45291</v>
      </c>
      <c r="L37" s="38"/>
      <c r="M37" s="17"/>
      <c r="N37" s="17"/>
      <c r="O37" s="17"/>
      <c r="P37" s="17"/>
      <c r="S37" s="22" t="s">
        <v>40</v>
      </c>
      <c r="T37" s="24"/>
      <c r="U37" s="24"/>
      <c r="V37" s="33">
        <f>+SUM(V34:V36)-0.5</f>
        <v>960599.07182999991</v>
      </c>
      <c r="W37" s="15"/>
      <c r="X37" s="40">
        <f>+SUM(X34:X36)</f>
        <v>943825.75297000003</v>
      </c>
      <c r="Y37" s="15"/>
      <c r="Z37" s="33">
        <f>+SUM(Z34:Z36)-0.5</f>
        <v>875356.15613999998</v>
      </c>
    </row>
    <row r="38" spans="2:31">
      <c r="B38" s="1" t="str">
        <f t="shared" si="5"/>
        <v>45657</v>
      </c>
      <c r="C38" s="1" t="str">
        <f t="shared" si="0"/>
        <v>45626</v>
      </c>
      <c r="D38" s="1" t="str">
        <f t="shared" si="1"/>
        <v>45291</v>
      </c>
      <c r="E38" s="1" t="str">
        <f t="shared" si="2"/>
        <v>45657</v>
      </c>
      <c r="F38" s="1" t="str">
        <f t="shared" si="3"/>
        <v>45626</v>
      </c>
      <c r="G38" s="1" t="str">
        <f t="shared" si="4"/>
        <v>45291</v>
      </c>
      <c r="L38" s="17"/>
      <c r="M38" s="17"/>
      <c r="N38" s="17"/>
      <c r="O38" s="17"/>
      <c r="P38" s="17"/>
      <c r="T38" s="24"/>
      <c r="U38" s="24"/>
      <c r="V38" s="17"/>
      <c r="W38" s="17"/>
      <c r="X38" s="17"/>
      <c r="Y38" s="17"/>
      <c r="Z38" s="17"/>
    </row>
    <row r="39" spans="2:31" s="42" customFormat="1" ht="18" customHeight="1" thickBot="1">
      <c r="B39" s="1" t="str">
        <f t="shared" si="5"/>
        <v>45657</v>
      </c>
      <c r="C39" s="1" t="str">
        <f t="shared" si="0"/>
        <v>45626</v>
      </c>
      <c r="D39" s="1" t="str">
        <f t="shared" si="1"/>
        <v>45291</v>
      </c>
      <c r="E39" s="1" t="str">
        <f t="shared" si="2"/>
        <v>45657</v>
      </c>
      <c r="F39" s="1" t="str">
        <f t="shared" si="3"/>
        <v>45626</v>
      </c>
      <c r="G39" s="1" t="str">
        <f t="shared" si="4"/>
        <v>45291</v>
      </c>
      <c r="H39" s="41" t="s">
        <v>41</v>
      </c>
      <c r="J39" s="43"/>
      <c r="K39" s="43"/>
      <c r="L39" s="44">
        <f>L21+L31</f>
        <v>1709861.4018099997</v>
      </c>
      <c r="M39" s="45"/>
      <c r="N39" s="46">
        <f>N21+N31</f>
        <v>1710320.3774600001</v>
      </c>
      <c r="O39" s="45"/>
      <c r="P39" s="44">
        <f>P21+P31</f>
        <v>1626383.3425500002</v>
      </c>
      <c r="R39" s="41" t="s">
        <v>42</v>
      </c>
      <c r="S39" s="41"/>
      <c r="T39" s="43"/>
      <c r="U39" s="43"/>
      <c r="V39" s="47">
        <f>+V37+V30+V20</f>
        <v>1709860.90181</v>
      </c>
      <c r="W39" s="28"/>
      <c r="X39" s="48">
        <f>+X37+X30+X20</f>
        <v>1710101.8384700001</v>
      </c>
      <c r="Y39" s="28"/>
      <c r="Z39" s="47">
        <f>+Z37+Z30+Z20</f>
        <v>1626382.8425499997</v>
      </c>
      <c r="AB39" s="9"/>
    </row>
    <row r="40" spans="2:31" ht="13.5" thickTop="1">
      <c r="B40" s="1" t="str">
        <f t="shared" si="5"/>
        <v>45657</v>
      </c>
      <c r="C40" s="1" t="str">
        <f t="shared" si="0"/>
        <v>45626</v>
      </c>
      <c r="D40" s="1" t="str">
        <f t="shared" si="1"/>
        <v>45291</v>
      </c>
      <c r="E40" s="1" t="str">
        <f t="shared" si="2"/>
        <v>45657</v>
      </c>
      <c r="F40" s="1" t="str">
        <f t="shared" si="3"/>
        <v>45626</v>
      </c>
      <c r="G40" s="1" t="str">
        <f t="shared" si="4"/>
        <v>45291</v>
      </c>
      <c r="H40" s="3"/>
      <c r="I40" s="3"/>
      <c r="J40" s="24"/>
      <c r="K40" s="24"/>
      <c r="L40" s="17"/>
      <c r="M40" s="17"/>
      <c r="N40" s="17"/>
      <c r="O40" s="17"/>
      <c r="P40" s="17"/>
      <c r="Q40" s="22"/>
      <c r="R40" s="22"/>
      <c r="T40" s="24"/>
      <c r="U40" s="24"/>
      <c r="V40" s="32"/>
      <c r="W40" s="32"/>
      <c r="X40" s="32"/>
      <c r="Y40" s="32"/>
      <c r="Z40" s="32"/>
    </row>
    <row r="41" spans="2:31" hidden="1">
      <c r="H41" s="49" t="s">
        <v>43</v>
      </c>
      <c r="I41" s="49"/>
      <c r="J41" s="19"/>
      <c r="K41" s="19"/>
      <c r="L41" s="50"/>
      <c r="M41" s="50"/>
      <c r="N41" s="50"/>
      <c r="O41" s="50"/>
      <c r="P41" s="50"/>
      <c r="Q41" s="51"/>
      <c r="R41" s="51"/>
      <c r="S41" s="49"/>
      <c r="T41" s="19"/>
      <c r="U41" s="19"/>
      <c r="V41" s="52"/>
      <c r="W41" s="52"/>
      <c r="X41" s="52"/>
      <c r="Y41" s="52"/>
      <c r="Z41" s="52"/>
    </row>
    <row r="42" spans="2:31">
      <c r="H42" s="3" t="s">
        <v>43</v>
      </c>
      <c r="I42" s="3"/>
      <c r="J42" s="24"/>
      <c r="K42" s="24"/>
      <c r="L42" s="17"/>
      <c r="M42" s="17"/>
      <c r="N42" s="17"/>
      <c r="O42" s="17"/>
      <c r="P42" s="17"/>
      <c r="Q42" s="22"/>
      <c r="R42" s="22"/>
      <c r="T42" s="24"/>
      <c r="U42" s="24"/>
      <c r="V42" s="32"/>
      <c r="W42" s="32"/>
      <c r="X42" s="32"/>
      <c r="Y42" s="32"/>
      <c r="Z42" s="32"/>
    </row>
    <row r="43" spans="2:31">
      <c r="H43" s="139"/>
      <c r="I43" s="140"/>
      <c r="J43" s="141"/>
      <c r="K43" s="141"/>
      <c r="L43" s="142"/>
      <c r="M43" s="142"/>
      <c r="N43" s="142"/>
      <c r="O43" s="142"/>
      <c r="P43" s="142"/>
      <c r="Q43" s="143"/>
      <c r="R43" s="144"/>
      <c r="S43" s="145"/>
      <c r="T43" s="141"/>
      <c r="U43" s="141"/>
      <c r="V43" s="32"/>
      <c r="W43" s="32"/>
      <c r="X43" s="32"/>
      <c r="Y43" s="32"/>
      <c r="Z43" s="32"/>
      <c r="AA43" s="145"/>
      <c r="AB43" s="145"/>
      <c r="AC43" s="145"/>
    </row>
    <row r="44" spans="2:31">
      <c r="H44" s="139"/>
      <c r="I44" s="140"/>
      <c r="J44" s="141"/>
      <c r="K44" s="141"/>
      <c r="L44" s="142"/>
      <c r="M44" s="142"/>
      <c r="N44" s="142"/>
      <c r="O44" s="142"/>
      <c r="P44" s="32"/>
      <c r="Q44" s="143"/>
      <c r="R44" s="143"/>
      <c r="S44" s="145"/>
      <c r="T44" s="141"/>
      <c r="U44" s="141"/>
      <c r="V44" s="39"/>
      <c r="W44" s="32"/>
      <c r="X44" s="32"/>
      <c r="Y44" s="32"/>
      <c r="Z44" s="32"/>
      <c r="AA44" s="145"/>
      <c r="AB44" s="145"/>
      <c r="AC44" s="145"/>
    </row>
    <row r="45" spans="2:31">
      <c r="C45" s="53"/>
      <c r="D45" s="53"/>
      <c r="E45" s="53"/>
      <c r="F45" s="53"/>
      <c r="G45" s="53"/>
      <c r="H45" s="140"/>
      <c r="I45" s="140"/>
      <c r="J45" s="140"/>
      <c r="K45" s="140"/>
      <c r="L45" s="146"/>
      <c r="M45" s="146"/>
      <c r="N45" s="146"/>
      <c r="O45" s="146"/>
      <c r="P45" s="146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</row>
    <row r="46" spans="2:31">
      <c r="H46" s="145"/>
      <c r="I46" s="140"/>
      <c r="J46" s="140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</row>
    <row r="47" spans="2:31">
      <c r="H47" s="145"/>
      <c r="I47" s="140"/>
      <c r="J47" s="140"/>
      <c r="K47" s="140"/>
      <c r="L47" s="147"/>
      <c r="M47" s="147"/>
      <c r="N47" s="147"/>
      <c r="O47" s="147"/>
      <c r="P47" s="147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</row>
    <row r="48" spans="2:31">
      <c r="H48" s="145"/>
      <c r="I48" s="140"/>
      <c r="J48" s="140"/>
      <c r="K48" s="140"/>
      <c r="L48" s="147"/>
      <c r="M48" s="147"/>
      <c r="N48" s="147"/>
      <c r="O48" s="147"/>
      <c r="P48" s="147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</row>
    <row r="49" spans="2:29">
      <c r="H49" s="145"/>
      <c r="I49" s="140"/>
      <c r="J49" s="140"/>
      <c r="K49" s="140"/>
      <c r="L49" s="147"/>
      <c r="M49" s="147"/>
      <c r="N49" s="147"/>
      <c r="O49" s="147"/>
      <c r="P49" s="147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</row>
    <row r="50" spans="2:29">
      <c r="H50" s="145"/>
      <c r="I50" s="140"/>
      <c r="J50" s="140"/>
      <c r="K50" s="140"/>
      <c r="L50" s="147"/>
      <c r="M50" s="147"/>
      <c r="N50" s="147"/>
      <c r="O50" s="147"/>
      <c r="P50" s="147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</row>
    <row r="51" spans="2:29">
      <c r="H51" s="145"/>
      <c r="I51" s="140"/>
      <c r="J51" s="140"/>
      <c r="K51" s="140"/>
      <c r="L51" s="147"/>
      <c r="M51" s="147"/>
      <c r="N51" s="147"/>
      <c r="O51" s="147"/>
      <c r="P51" s="147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</row>
    <row r="52" spans="2:29">
      <c r="H52" s="145"/>
      <c r="I52" s="140"/>
      <c r="J52" s="140"/>
      <c r="K52" s="140"/>
      <c r="L52" s="147"/>
      <c r="M52" s="147"/>
      <c r="N52" s="147"/>
      <c r="O52" s="147"/>
      <c r="P52" s="147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</row>
    <row r="53" spans="2:29">
      <c r="H53" s="145"/>
      <c r="I53" s="140"/>
      <c r="J53" s="140"/>
      <c r="K53" s="140"/>
      <c r="L53" s="147"/>
      <c r="M53" s="147"/>
      <c r="N53" s="147"/>
      <c r="O53" s="147"/>
      <c r="P53" s="147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</row>
    <row r="54" spans="2:29">
      <c r="H54" s="145"/>
      <c r="I54" s="140"/>
      <c r="J54" s="140"/>
      <c r="K54" s="140"/>
      <c r="L54" s="147"/>
      <c r="M54" s="147"/>
      <c r="N54" s="147"/>
      <c r="O54" s="147"/>
      <c r="P54" s="147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</row>
    <row r="55" spans="2:29">
      <c r="H55" s="145"/>
      <c r="I55" s="140"/>
      <c r="J55" s="140"/>
      <c r="K55" s="140"/>
      <c r="L55" s="148"/>
      <c r="M55" s="148"/>
      <c r="N55" s="148"/>
      <c r="O55" s="148"/>
      <c r="P55" s="148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</row>
    <row r="56" spans="2:29">
      <c r="H56" s="149"/>
      <c r="I56" s="149"/>
      <c r="J56" s="150"/>
      <c r="K56" s="150"/>
      <c r="L56" s="151"/>
      <c r="M56" s="152"/>
      <c r="N56" s="151"/>
      <c r="O56" s="152"/>
      <c r="P56" s="151"/>
      <c r="Q56" s="143"/>
      <c r="R56" s="143"/>
      <c r="S56" s="145"/>
      <c r="T56" s="141"/>
      <c r="U56" s="141"/>
      <c r="V56" s="151"/>
      <c r="W56" s="32"/>
      <c r="X56" s="151"/>
      <c r="Y56" s="32"/>
      <c r="Z56" s="151"/>
      <c r="AA56" s="145"/>
      <c r="AB56" s="145"/>
      <c r="AC56" s="145"/>
    </row>
    <row r="57" spans="2:29">
      <c r="H57" s="153"/>
      <c r="I57" s="140"/>
      <c r="J57" s="141"/>
      <c r="K57" s="141"/>
      <c r="L57" s="142"/>
      <c r="M57" s="142"/>
      <c r="N57" s="142"/>
      <c r="O57" s="142"/>
      <c r="P57" s="142"/>
      <c r="Q57" s="143"/>
      <c r="R57" s="153"/>
      <c r="S57" s="145"/>
      <c r="T57" s="141"/>
      <c r="U57" s="141"/>
      <c r="V57" s="32"/>
      <c r="W57" s="32"/>
      <c r="X57" s="32"/>
      <c r="Y57" s="32"/>
      <c r="Z57" s="32"/>
      <c r="AA57" s="145"/>
      <c r="AB57" s="145"/>
      <c r="AC57" s="145"/>
    </row>
    <row r="58" spans="2:29">
      <c r="B58" s="1" t="str">
        <f>$I58&amp;$B$9</f>
        <v>45657</v>
      </c>
      <c r="C58" s="1" t="str">
        <f>$I58&amp;$C$9</f>
        <v>45626</v>
      </c>
      <c r="D58" s="1" t="str">
        <f>$I58&amp;$D$9</f>
        <v>45291</v>
      </c>
      <c r="E58" s="1" t="str">
        <f>$S58&amp;$E$9</f>
        <v>45657</v>
      </c>
      <c r="F58" s="1" t="str">
        <f>$S58&amp;$F$9</f>
        <v>45626</v>
      </c>
      <c r="G58" s="1" t="str">
        <f t="shared" si="4"/>
        <v>45291</v>
      </c>
      <c r="H58" s="140"/>
      <c r="I58" s="139"/>
      <c r="J58" s="141"/>
      <c r="K58" s="141"/>
      <c r="L58" s="28"/>
      <c r="M58" s="28"/>
      <c r="N58" s="28"/>
      <c r="O58" s="28"/>
      <c r="P58" s="28"/>
      <c r="Q58" s="143"/>
      <c r="R58" s="143"/>
      <c r="S58" s="139"/>
      <c r="T58" s="141"/>
      <c r="U58" s="141"/>
      <c r="V58" s="28"/>
      <c r="W58" s="28"/>
      <c r="X58" s="28"/>
      <c r="Y58" s="28"/>
      <c r="Z58" s="28"/>
      <c r="AA58" s="145"/>
      <c r="AB58" s="145"/>
      <c r="AC58" s="145"/>
    </row>
    <row r="59" spans="2:29">
      <c r="B59" s="1" t="str">
        <f>$I59&amp;$B$9</f>
        <v>45657</v>
      </c>
      <c r="C59" s="1" t="str">
        <f>$I59&amp;$C$9</f>
        <v>45626</v>
      </c>
      <c r="D59" s="1" t="str">
        <f>$I59&amp;$D$9</f>
        <v>45291</v>
      </c>
      <c r="E59" s="1" t="str">
        <f>$S59&amp;$E$9</f>
        <v>45657</v>
      </c>
      <c r="F59" s="1" t="str">
        <f>$S59&amp;$F$9</f>
        <v>45626</v>
      </c>
      <c r="G59" s="1" t="str">
        <f t="shared" si="4"/>
        <v>45291</v>
      </c>
      <c r="H59" s="145"/>
      <c r="I59" s="154"/>
      <c r="J59" s="140"/>
      <c r="K59" s="140"/>
      <c r="L59" s="28"/>
      <c r="M59" s="28"/>
      <c r="N59" s="28"/>
      <c r="O59" s="28"/>
      <c r="P59" s="28"/>
      <c r="Q59" s="145"/>
      <c r="R59" s="145"/>
      <c r="S59" s="154"/>
      <c r="T59" s="145"/>
      <c r="U59" s="145"/>
      <c r="V59" s="28"/>
      <c r="W59" s="28"/>
      <c r="X59" s="28"/>
      <c r="Y59" s="28"/>
      <c r="Z59" s="28"/>
      <c r="AA59" s="145"/>
      <c r="AB59" s="145"/>
      <c r="AC59" s="145"/>
    </row>
    <row r="60" spans="2:29">
      <c r="B60" s="1" t="str">
        <f>$I60&amp;$B$9</f>
        <v>45657</v>
      </c>
      <c r="C60" s="1" t="str">
        <f>$I60&amp;$C$9</f>
        <v>45626</v>
      </c>
      <c r="D60" s="1" t="str">
        <f>$I60&amp;$D$9</f>
        <v>45291</v>
      </c>
      <c r="E60" s="1" t="str">
        <f>$S60&amp;$E$9</f>
        <v>45657</v>
      </c>
      <c r="F60" s="1" t="str">
        <f>$S60&amp;$F$9</f>
        <v>45626</v>
      </c>
      <c r="G60" s="1" t="str">
        <f t="shared" si="4"/>
        <v>45291</v>
      </c>
      <c r="H60" s="145"/>
      <c r="I60" s="154"/>
      <c r="J60" s="140"/>
      <c r="K60" s="140"/>
      <c r="L60" s="28"/>
      <c r="M60" s="28"/>
      <c r="N60" s="28"/>
      <c r="O60" s="28"/>
      <c r="P60" s="28"/>
      <c r="Q60" s="145"/>
      <c r="R60" s="145"/>
      <c r="S60" s="155"/>
      <c r="T60" s="145"/>
      <c r="U60" s="145"/>
      <c r="V60" s="28"/>
      <c r="W60" s="28"/>
      <c r="X60" s="28"/>
      <c r="Y60" s="28"/>
      <c r="Z60" s="28"/>
      <c r="AA60" s="145"/>
      <c r="AB60" s="145"/>
      <c r="AC60" s="145"/>
    </row>
    <row r="61" spans="2:29">
      <c r="H61" s="145"/>
      <c r="I61" s="145"/>
      <c r="J61" s="140"/>
      <c r="K61" s="140"/>
      <c r="L61" s="140"/>
      <c r="M61" s="140"/>
      <c r="N61" s="140"/>
      <c r="O61" s="140"/>
      <c r="P61" s="140"/>
      <c r="Q61" s="145"/>
      <c r="R61" s="145"/>
      <c r="S61" s="145"/>
      <c r="T61" s="145"/>
      <c r="U61" s="145"/>
      <c r="V61" s="32"/>
      <c r="W61" s="32"/>
      <c r="X61" s="32"/>
      <c r="Y61" s="32"/>
      <c r="Z61" s="32"/>
      <c r="AA61" s="145"/>
      <c r="AB61" s="145"/>
      <c r="AC61" s="145"/>
    </row>
    <row r="62" spans="2:29">
      <c r="H62" s="145"/>
      <c r="I62" s="140"/>
      <c r="J62" s="140"/>
      <c r="K62" s="140"/>
      <c r="L62" s="148"/>
      <c r="M62" s="148"/>
      <c r="N62" s="148"/>
      <c r="O62" s="148"/>
      <c r="P62" s="148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</row>
  </sheetData>
  <mergeCells count="2">
    <mergeCell ref="B8:D8"/>
    <mergeCell ref="E8:G8"/>
  </mergeCells>
  <printOptions horizontalCentered="1"/>
  <pageMargins left="0.78740157480314965" right="0.51181102362204722" top="1.3385826771653544" bottom="0.78740157480314965" header="0.19685039370078741" footer="0.31496062992125984"/>
  <pageSetup paperSize="9" scale="75" firstPageNumber="7" orientation="landscape" useFirstPageNumber="1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93B84-8FB3-41FF-A437-8E7A96922321}">
  <sheetPr>
    <tabColor rgb="FFFFFF00"/>
  </sheetPr>
  <dimension ref="B1:X100"/>
  <sheetViews>
    <sheetView showGridLines="0" view="pageBreakPreview" zoomScale="80" zoomScaleNormal="100" zoomScaleSheetLayoutView="80" workbookViewId="0">
      <selection activeCell="Z80" sqref="Z80"/>
    </sheetView>
  </sheetViews>
  <sheetFormatPr defaultColWidth="13.42578125" defaultRowHeight="15" customHeight="1" outlineLevelRow="1" outlineLevelCol="1"/>
  <cols>
    <col min="1" max="1" width="4" style="1" customWidth="1"/>
    <col min="2" max="2" width="40.7109375" style="1" hidden="1" customWidth="1" outlineLevel="1"/>
    <col min="3" max="3" width="37.7109375" style="1" hidden="1" customWidth="1" outlineLevel="1"/>
    <col min="4" max="4" width="49.42578125" style="1" customWidth="1" collapsed="1"/>
    <col min="5" max="5" width="7.7109375" style="1" customWidth="1"/>
    <col min="6" max="6" width="8.7109375" style="1" hidden="1" customWidth="1"/>
    <col min="7" max="7" width="17.85546875" style="1" customWidth="1"/>
    <col min="8" max="8" width="1.85546875" style="1" customWidth="1"/>
    <col min="9" max="9" width="17.7109375" style="1" customWidth="1"/>
    <col min="10" max="10" width="3.7109375" style="1" customWidth="1"/>
    <col min="11" max="11" width="12.7109375" style="1" hidden="1" customWidth="1" outlineLevel="1"/>
    <col min="12" max="12" width="3.7109375" style="1" hidden="1" customWidth="1" outlineLevel="1"/>
    <col min="13" max="13" width="8.42578125" style="1" hidden="1" customWidth="1" outlineLevel="1"/>
    <col min="14" max="14" width="3.7109375" style="1" hidden="1" customWidth="1" outlineLevel="1"/>
    <col min="15" max="15" width="12.7109375" style="1" hidden="1" customWidth="1" outlineLevel="1"/>
    <col min="16" max="16" width="1.7109375" style="1" customWidth="1" collapsed="1"/>
    <col min="17" max="17" width="12.7109375" style="1" hidden="1" customWidth="1" outlineLevel="1"/>
    <col min="18" max="18" width="3.7109375" style="1" hidden="1" customWidth="1" outlineLevel="1"/>
    <col min="19" max="19" width="12.7109375" style="1" hidden="1" customWidth="1" outlineLevel="1"/>
    <col min="20" max="20" width="3.7109375" style="1" hidden="1" customWidth="1" outlineLevel="1"/>
    <col min="21" max="21" width="10.7109375" style="1" hidden="1" customWidth="1" outlineLevel="1"/>
    <col min="22" max="22" width="3.7109375" style="1" customWidth="1" collapsed="1"/>
    <col min="23" max="23" width="13.42578125" style="1"/>
    <col min="24" max="24" width="14" style="1" bestFit="1" customWidth="1"/>
    <col min="25" max="16384" width="13.42578125" style="1"/>
  </cols>
  <sheetData>
    <row r="1" spans="2:21" ht="15" customHeight="1">
      <c r="D1" s="2" t="s">
        <v>104</v>
      </c>
      <c r="E1" s="3"/>
      <c r="F1" s="3"/>
    </row>
    <row r="2" spans="2:21" ht="15" customHeight="1">
      <c r="D2" s="2"/>
      <c r="E2" s="3"/>
      <c r="F2" s="3"/>
    </row>
    <row r="3" spans="2:21" ht="15" customHeight="1">
      <c r="D3" s="2" t="s">
        <v>44</v>
      </c>
      <c r="E3" s="22"/>
      <c r="F3" s="22"/>
    </row>
    <row r="4" spans="2:21" ht="15" hidden="1" customHeight="1">
      <c r="D4" s="2" t="s">
        <v>106</v>
      </c>
      <c r="E4" s="24"/>
      <c r="F4" s="55"/>
    </row>
    <row r="5" spans="2:21" ht="15" customHeight="1">
      <c r="D5" s="2" t="s">
        <v>45</v>
      </c>
      <c r="E5" s="24"/>
      <c r="F5" s="55"/>
    </row>
    <row r="6" spans="2:21" ht="15" customHeight="1">
      <c r="D6" s="16" t="s">
        <v>107</v>
      </c>
      <c r="E6" s="56"/>
      <c r="F6" s="56"/>
    </row>
    <row r="7" spans="2:21" ht="15" customHeight="1">
      <c r="D7" s="16"/>
      <c r="E7" s="56"/>
      <c r="F7" s="56"/>
    </row>
    <row r="8" spans="2:21" ht="15.75" hidden="1" customHeight="1">
      <c r="D8" s="22"/>
      <c r="E8" s="23" t="s">
        <v>4</v>
      </c>
      <c r="F8" s="22"/>
      <c r="G8" s="137"/>
      <c r="H8" s="137"/>
      <c r="I8" s="137"/>
      <c r="J8" s="24"/>
      <c r="K8" s="138" t="s">
        <v>46</v>
      </c>
      <c r="L8" s="138"/>
      <c r="M8" s="138"/>
      <c r="N8" s="58"/>
      <c r="O8" s="136" t="s">
        <v>47</v>
      </c>
      <c r="P8" s="136"/>
      <c r="Q8" s="136"/>
      <c r="S8" s="138" t="s">
        <v>46</v>
      </c>
      <c r="T8" s="138"/>
      <c r="U8" s="138"/>
    </row>
    <row r="9" spans="2:21" ht="15" customHeight="1">
      <c r="D9" s="22"/>
      <c r="E9" s="24" t="s">
        <v>48</v>
      </c>
      <c r="F9" s="22"/>
      <c r="G9" s="24"/>
      <c r="H9" s="24"/>
      <c r="I9" s="24"/>
      <c r="J9" s="24"/>
      <c r="K9" s="57"/>
      <c r="L9" s="58"/>
      <c r="M9" s="57"/>
      <c r="N9" s="58"/>
      <c r="O9" s="59" t="s">
        <v>49</v>
      </c>
      <c r="P9" s="24"/>
      <c r="Q9" s="59"/>
      <c r="S9" s="57"/>
      <c r="T9" s="58"/>
      <c r="U9" s="57"/>
    </row>
    <row r="10" spans="2:21" ht="15" hidden="1" customHeight="1">
      <c r="D10" s="22"/>
      <c r="E10" s="23" t="s">
        <v>50</v>
      </c>
      <c r="F10" s="22"/>
      <c r="G10" s="60">
        <v>45565</v>
      </c>
      <c r="H10" s="24"/>
      <c r="I10" s="60">
        <v>45199</v>
      </c>
      <c r="J10" s="24"/>
      <c r="K10" s="57"/>
      <c r="L10" s="58"/>
      <c r="M10" s="57"/>
      <c r="N10" s="58"/>
      <c r="O10" s="61">
        <v>2023</v>
      </c>
      <c r="P10" s="24"/>
      <c r="Q10" s="59"/>
      <c r="S10" s="57"/>
      <c r="T10" s="58"/>
      <c r="U10" s="57"/>
    </row>
    <row r="11" spans="2:21" ht="15" customHeight="1">
      <c r="B11" s="25">
        <f>G11</f>
        <v>45657</v>
      </c>
      <c r="C11" s="25">
        <f>I11</f>
        <v>45291</v>
      </c>
      <c r="D11" s="3"/>
      <c r="F11" s="3"/>
      <c r="G11" s="25">
        <v>45657</v>
      </c>
      <c r="H11" s="21"/>
      <c r="I11" s="25">
        <v>45291</v>
      </c>
      <c r="J11" s="21"/>
      <c r="K11" s="62" t="s">
        <v>51</v>
      </c>
      <c r="L11" s="63"/>
      <c r="M11" s="64" t="s">
        <v>52</v>
      </c>
      <c r="N11" s="65"/>
      <c r="O11" s="25">
        <v>45657</v>
      </c>
      <c r="P11" s="21"/>
      <c r="Q11" s="25">
        <v>45291</v>
      </c>
      <c r="S11" s="62" t="s">
        <v>51</v>
      </c>
      <c r="T11" s="63"/>
      <c r="U11" s="64" t="s">
        <v>52</v>
      </c>
    </row>
    <row r="12" spans="2:21" ht="15" hidden="1" customHeight="1" outlineLevel="1">
      <c r="B12" s="21"/>
      <c r="C12" s="21"/>
      <c r="D12" s="3"/>
      <c r="E12" s="23"/>
      <c r="F12" s="3"/>
      <c r="G12" s="21"/>
      <c r="H12" s="21"/>
      <c r="I12" s="21"/>
      <c r="J12" s="21"/>
      <c r="K12" s="63"/>
      <c r="L12" s="63"/>
      <c r="M12" s="65"/>
      <c r="N12" s="65"/>
      <c r="O12" s="21"/>
      <c r="P12" s="21"/>
      <c r="Q12" s="21"/>
      <c r="S12" s="63"/>
      <c r="T12" s="63"/>
      <c r="U12" s="65"/>
    </row>
    <row r="13" spans="2:21" ht="15" hidden="1" customHeight="1" outlineLevel="1">
      <c r="D13" s="3" t="s">
        <v>53</v>
      </c>
      <c r="E13" s="24"/>
      <c r="F13" s="3"/>
      <c r="G13" s="66">
        <f>SUM(G15:G19)</f>
        <v>484776.47894999996</v>
      </c>
      <c r="H13" s="67"/>
      <c r="I13" s="66">
        <f>SUM(I15:I19)</f>
        <v>500698.09472000005</v>
      </c>
      <c r="J13" s="67"/>
      <c r="K13" s="66">
        <f>SUM(K15:K19)</f>
        <v>-15921.615770000069</v>
      </c>
      <c r="L13" s="67"/>
      <c r="M13" s="68">
        <f>K13/I13</f>
        <v>-3.1798834343285731E-2</v>
      </c>
      <c r="O13" s="66">
        <f>SUM(O15:O19)</f>
        <v>30158.43073</v>
      </c>
      <c r="P13" s="67"/>
      <c r="Q13" s="66">
        <f>SUM(Q15:Q19)</f>
        <v>28697.173040000001</v>
      </c>
      <c r="S13" s="66">
        <f>SUM(S15:S19)</f>
        <v>1461.2576900000004</v>
      </c>
      <c r="U13" s="69">
        <f>S13/Q13</f>
        <v>5.0919917720229919E-2</v>
      </c>
    </row>
    <row r="14" spans="2:21" ht="3.75" hidden="1" customHeight="1" outlineLevel="1">
      <c r="D14" s="70"/>
      <c r="E14" s="24"/>
      <c r="F14" s="3"/>
      <c r="G14" s="67"/>
      <c r="H14" s="67"/>
      <c r="I14" s="67"/>
      <c r="J14" s="67"/>
      <c r="K14" s="67"/>
      <c r="L14" s="67"/>
      <c r="O14" s="67"/>
      <c r="P14" s="67"/>
      <c r="Q14" s="67"/>
    </row>
    <row r="15" spans="2:21" ht="15" hidden="1" customHeight="1" outlineLevel="1">
      <c r="B15" s="1" t="str">
        <f>$D15&amp;$B$11</f>
        <v>Tarifas/Serviços45657</v>
      </c>
      <c r="C15" s="1" t="str">
        <f t="shared" ref="C15:C62" si="0">$D15&amp;$C$11</f>
        <v>Tarifas/Serviços45291</v>
      </c>
      <c r="D15" s="71" t="s">
        <v>54</v>
      </c>
      <c r="E15" s="24"/>
      <c r="G15" s="72">
        <v>259983.30225999997</v>
      </c>
      <c r="H15" s="73"/>
      <c r="I15" s="72">
        <v>274810.63132000004</v>
      </c>
      <c r="J15" s="72"/>
      <c r="K15" s="72">
        <f>G15-I15</f>
        <v>-14827.329060000076</v>
      </c>
      <c r="L15" s="72"/>
      <c r="M15" s="74">
        <f>+K15/I15</f>
        <v>-5.3954714156362334E-2</v>
      </c>
      <c r="O15" s="72">
        <v>18635.187620000001</v>
      </c>
      <c r="P15" s="73"/>
      <c r="Q15" s="72">
        <v>17099.106820000001</v>
      </c>
      <c r="S15" s="9">
        <f>O15-Q15</f>
        <v>1536.0807999999997</v>
      </c>
      <c r="T15" s="9"/>
      <c r="U15" s="74">
        <f>S15/Q15</f>
        <v>8.9833978825333741E-2</v>
      </c>
    </row>
    <row r="16" spans="2:21" ht="15" hidden="1" customHeight="1" outlineLevel="1">
      <c r="B16" s="1" t="str">
        <f t="shared" ref="B16:B62" si="1">$D16&amp;$B$11</f>
        <v>Arrendamento45657</v>
      </c>
      <c r="C16" s="1" t="str">
        <f t="shared" si="0"/>
        <v>Arrendamento45291</v>
      </c>
      <c r="D16" s="71" t="s">
        <v>55</v>
      </c>
      <c r="E16" s="24"/>
      <c r="G16" s="72">
        <v>175145.01074</v>
      </c>
      <c r="H16" s="73"/>
      <c r="I16" s="72">
        <v>181789.06951999999</v>
      </c>
      <c r="J16" s="72"/>
      <c r="K16" s="72">
        <f>G16-I16</f>
        <v>-6644.0587799999921</v>
      </c>
      <c r="L16" s="72"/>
      <c r="M16" s="74">
        <f>+K16/I16</f>
        <v>-3.6548175297574911E-2</v>
      </c>
      <c r="O16" s="72">
        <v>10938.49584</v>
      </c>
      <c r="P16" s="73"/>
      <c r="Q16" s="72">
        <v>11091.318949999999</v>
      </c>
      <c r="S16" s="9">
        <f>O16-Q16</f>
        <v>-152.82310999999936</v>
      </c>
      <c r="U16" s="74">
        <f>S16/Q16</f>
        <v>-1.3778623686590438E-2</v>
      </c>
    </row>
    <row r="17" spans="2:23" ht="18.75" hidden="1" customHeight="1" outlineLevel="1">
      <c r="B17" s="1" t="str">
        <f t="shared" si="1"/>
        <v>Arrendamento TEGRAM45657</v>
      </c>
      <c r="C17" s="1" t="str">
        <f t="shared" si="0"/>
        <v>Arrendamento TEGRAM45291</v>
      </c>
      <c r="D17" s="71" t="s">
        <v>56</v>
      </c>
      <c r="E17" s="75"/>
      <c r="G17" s="72">
        <v>6080.9672399999999</v>
      </c>
      <c r="H17" s="73"/>
      <c r="I17" s="72">
        <v>6080.9672399999999</v>
      </c>
      <c r="J17" s="72"/>
      <c r="K17" s="72">
        <f>G17-I17</f>
        <v>0</v>
      </c>
      <c r="L17" s="72"/>
      <c r="M17" s="74">
        <f>+K17/I17</f>
        <v>0</v>
      </c>
      <c r="O17" s="72">
        <v>506.74727000000001</v>
      </c>
      <c r="P17" s="73"/>
      <c r="Q17" s="72">
        <v>506.74727000000001</v>
      </c>
      <c r="S17" s="9">
        <f>O17-Q17</f>
        <v>0</v>
      </c>
      <c r="U17" s="74">
        <f>S17/Q17</f>
        <v>0</v>
      </c>
    </row>
    <row r="18" spans="2:23" ht="12.75" hidden="1" customHeight="1" outlineLevel="1">
      <c r="B18" s="1" t="str">
        <f t="shared" si="1"/>
        <v>Arrendamento de Áreas IQI 03/11/12 e 1345657</v>
      </c>
      <c r="C18" s="1" t="str">
        <f t="shared" si="0"/>
        <v>Arrendamento de Áreas IQI 03/11/12 e 1345291</v>
      </c>
      <c r="D18" s="76" t="s">
        <v>57</v>
      </c>
      <c r="E18" s="75"/>
      <c r="G18" s="72">
        <v>39273.98143</v>
      </c>
      <c r="H18" s="73"/>
      <c r="I18" s="72">
        <v>37790.479220000001</v>
      </c>
      <c r="J18" s="72"/>
      <c r="K18" s="72">
        <f>G18-I18</f>
        <v>1483.5022099999987</v>
      </c>
      <c r="L18" s="72"/>
      <c r="M18" s="1">
        <f>+K18/I18</f>
        <v>3.9255977712367274E-2</v>
      </c>
      <c r="O18" s="72">
        <v>0</v>
      </c>
      <c r="P18" s="73"/>
      <c r="Q18" s="72">
        <v>0</v>
      </c>
      <c r="S18" s="9">
        <f>O18-Q18</f>
        <v>0</v>
      </c>
      <c r="U18" s="9">
        <f>Q18-S18</f>
        <v>0</v>
      </c>
    </row>
    <row r="19" spans="2:23" ht="15" hidden="1" customHeight="1" outlineLevel="1">
      <c r="B19" s="1" t="str">
        <f t="shared" si="1"/>
        <v>Outras Receitas45657</v>
      </c>
      <c r="C19" s="1" t="str">
        <f t="shared" si="0"/>
        <v>Outras Receitas45291</v>
      </c>
      <c r="D19" s="71" t="s">
        <v>58</v>
      </c>
      <c r="E19" s="24"/>
      <c r="G19" s="72">
        <v>4293.2172799999998</v>
      </c>
      <c r="H19" s="73"/>
      <c r="I19" s="72">
        <v>226.94742000000002</v>
      </c>
      <c r="J19" s="72"/>
      <c r="K19" s="72">
        <f>G19-I19</f>
        <v>4066.2698599999999</v>
      </c>
      <c r="L19" s="72"/>
      <c r="M19" s="74">
        <f>+K19/I19</f>
        <v>17.917233251649211</v>
      </c>
      <c r="O19" s="72">
        <v>78</v>
      </c>
      <c r="P19" s="73"/>
      <c r="Q19" s="72">
        <v>0</v>
      </c>
      <c r="S19" s="9">
        <f>O19-Q19</f>
        <v>78</v>
      </c>
      <c r="U19" s="9">
        <f>Q19-S19</f>
        <v>-78</v>
      </c>
    </row>
    <row r="20" spans="2:23" ht="16.5" hidden="1" customHeight="1" outlineLevel="1">
      <c r="B20" s="1" t="str">
        <f t="shared" si="1"/>
        <v>45657</v>
      </c>
      <c r="C20" s="1" t="str">
        <f t="shared" si="0"/>
        <v>45291</v>
      </c>
      <c r="D20" s="71"/>
      <c r="E20" s="24"/>
      <c r="G20" s="73"/>
      <c r="H20" s="73"/>
      <c r="I20" s="73"/>
      <c r="J20" s="73"/>
      <c r="K20" s="73"/>
      <c r="L20" s="73"/>
      <c r="O20" s="73"/>
      <c r="P20" s="73"/>
      <c r="Q20" s="73"/>
      <c r="U20" s="74"/>
    </row>
    <row r="21" spans="2:23" ht="15" hidden="1" customHeight="1" outlineLevel="1">
      <c r="B21" s="1" t="str">
        <f t="shared" si="1"/>
        <v>Deduções da receita45657</v>
      </c>
      <c r="C21" s="1" t="str">
        <f t="shared" si="0"/>
        <v>Deduções da receita45291</v>
      </c>
      <c r="D21" s="3" t="s">
        <v>59</v>
      </c>
      <c r="E21" s="24"/>
      <c r="F21" s="3"/>
      <c r="G21" s="77">
        <f>+G23</f>
        <v>-57842.082270000006</v>
      </c>
      <c r="H21" s="78"/>
      <c r="I21" s="77">
        <f>+I23</f>
        <v>-60055.106100000005</v>
      </c>
      <c r="J21" s="78"/>
      <c r="K21" s="77">
        <f>G21-I21</f>
        <v>2213.0238299999983</v>
      </c>
      <c r="L21" s="78"/>
      <c r="M21" s="68">
        <f>K21/I21</f>
        <v>-3.6849886274699262E-2</v>
      </c>
      <c r="O21" s="77">
        <f>+O23</f>
        <v>-3721.4142900000002</v>
      </c>
      <c r="P21" s="78"/>
      <c r="Q21" s="77">
        <f>+Q23</f>
        <v>-3509.4439400000001</v>
      </c>
      <c r="S21" s="34">
        <f>+S23</f>
        <v>-211.97035000000005</v>
      </c>
      <c r="U21" s="68">
        <f>S21/Q21</f>
        <v>6.0399981770331415E-2</v>
      </c>
    </row>
    <row r="22" spans="2:23" s="3" customFormat="1" ht="22.5" hidden="1" customHeight="1" outlineLevel="1">
      <c r="B22" s="1" t="str">
        <f t="shared" si="1"/>
        <v>45657</v>
      </c>
      <c r="C22" s="1" t="str">
        <f t="shared" si="0"/>
        <v>45291</v>
      </c>
      <c r="D22" s="71"/>
      <c r="E22" s="24"/>
      <c r="F22" s="1"/>
      <c r="G22" s="73"/>
      <c r="H22" s="73"/>
      <c r="I22" s="73"/>
      <c r="J22" s="73"/>
      <c r="K22" s="73"/>
      <c r="L22" s="73"/>
      <c r="O22" s="73"/>
      <c r="P22" s="73"/>
      <c r="Q22" s="73"/>
    </row>
    <row r="23" spans="2:23" ht="15" hidden="1" customHeight="1" outlineLevel="1">
      <c r="B23" s="1" t="str">
        <f t="shared" si="1"/>
        <v>Impostos s/ Faturamento45657</v>
      </c>
      <c r="C23" s="1" t="str">
        <f t="shared" si="0"/>
        <v>Impostos s/ Faturamento45291</v>
      </c>
      <c r="D23" s="71" t="s">
        <v>60</v>
      </c>
      <c r="E23" s="24"/>
      <c r="G23" s="72">
        <v>-57842.082270000006</v>
      </c>
      <c r="H23" s="73"/>
      <c r="I23" s="72">
        <v>-60055.106100000005</v>
      </c>
      <c r="J23" s="72"/>
      <c r="K23" s="72">
        <f>G23-I23</f>
        <v>2213.0238299999983</v>
      </c>
      <c r="L23" s="72"/>
      <c r="M23" s="74">
        <f>K23/I23</f>
        <v>-3.6849886274699262E-2</v>
      </c>
      <c r="O23" s="72">
        <v>-3721.4142900000002</v>
      </c>
      <c r="P23" s="73"/>
      <c r="Q23" s="72">
        <v>-3509.4439400000001</v>
      </c>
      <c r="S23" s="9">
        <f>O23-Q23</f>
        <v>-211.97035000000005</v>
      </c>
      <c r="U23" s="74">
        <f>S23/Q23</f>
        <v>6.0399981770331415E-2</v>
      </c>
    </row>
    <row r="24" spans="2:23" ht="15" hidden="1" customHeight="1" outlineLevel="1">
      <c r="B24" s="1" t="str">
        <f>$D24&amp;$B$11</f>
        <v>45657</v>
      </c>
      <c r="C24" s="1" t="str">
        <f t="shared" si="0"/>
        <v>45291</v>
      </c>
      <c r="D24" s="71"/>
      <c r="E24" s="24"/>
      <c r="G24" s="73"/>
      <c r="H24" s="73"/>
      <c r="I24" s="73"/>
      <c r="J24" s="73"/>
      <c r="K24" s="73"/>
      <c r="L24" s="73"/>
      <c r="O24" s="73"/>
      <c r="P24" s="73"/>
      <c r="Q24" s="73"/>
    </row>
    <row r="25" spans="2:23" ht="15" customHeight="1" collapsed="1">
      <c r="B25" s="1" t="str">
        <f t="shared" si="1"/>
        <v>Receita líquida45657</v>
      </c>
      <c r="C25" s="1" t="str">
        <f t="shared" si="0"/>
        <v>Receita líquida45291</v>
      </c>
      <c r="D25" s="3" t="s">
        <v>61</v>
      </c>
      <c r="E25" s="24">
        <v>23</v>
      </c>
      <c r="F25" s="24"/>
      <c r="G25" s="66">
        <f>+G13+G21</f>
        <v>426934.39667999995</v>
      </c>
      <c r="H25" s="67"/>
      <c r="I25" s="66">
        <f>+I13+I21</f>
        <v>440642.98862000008</v>
      </c>
      <c r="J25" s="67"/>
      <c r="K25" s="66">
        <f>K13+K21</f>
        <v>-13708.591940000071</v>
      </c>
      <c r="L25" s="67"/>
      <c r="M25" s="68">
        <f>K25/I25</f>
        <v>-3.1110427929268679E-2</v>
      </c>
      <c r="O25" s="66">
        <f>+O13+O21</f>
        <v>26437.016439999999</v>
      </c>
      <c r="P25" s="67"/>
      <c r="Q25" s="66">
        <f>+Q13+Q21</f>
        <v>25187.7291</v>
      </c>
      <c r="S25" s="66">
        <f>S13+S21</f>
        <v>1249.2873400000003</v>
      </c>
      <c r="U25" s="68">
        <f>S25/Q25</f>
        <v>4.9599046227633135E-2</v>
      </c>
    </row>
    <row r="26" spans="2:23" s="3" customFormat="1" ht="15" customHeight="1">
      <c r="B26" s="1" t="str">
        <f t="shared" si="1"/>
        <v>45657</v>
      </c>
      <c r="C26" s="1" t="str">
        <f t="shared" si="0"/>
        <v>45291</v>
      </c>
      <c r="D26" s="71"/>
      <c r="E26" s="24"/>
      <c r="F26" s="24"/>
      <c r="G26" s="73"/>
      <c r="H26" s="73"/>
      <c r="I26" s="73"/>
      <c r="J26" s="73"/>
      <c r="K26" s="73"/>
      <c r="L26" s="73"/>
      <c r="O26" s="73"/>
      <c r="P26" s="73"/>
      <c r="Q26" s="73"/>
    </row>
    <row r="27" spans="2:23" ht="15" customHeight="1">
      <c r="B27" s="1" t="str">
        <f>$D27&amp;$B$11</f>
        <v>Custos45657</v>
      </c>
      <c r="C27" s="1" t="str">
        <f t="shared" si="0"/>
        <v>Custos45291</v>
      </c>
      <c r="D27" s="70" t="s">
        <v>62</v>
      </c>
      <c r="E27" s="24">
        <v>24</v>
      </c>
      <c r="F27" s="24"/>
      <c r="G27" s="66">
        <f>-SUM(G29:G34)</f>
        <v>-130497.16475</v>
      </c>
      <c r="H27" s="67"/>
      <c r="I27" s="66">
        <f>-SUM(I29:I34)</f>
        <v>-118209.28882</v>
      </c>
      <c r="J27" s="79"/>
      <c r="K27" s="66">
        <f>-G27+I27</f>
        <v>12287.875929999995</v>
      </c>
      <c r="L27" s="79"/>
      <c r="M27" s="68">
        <f>-K27/I27</f>
        <v>0.10395017221287089</v>
      </c>
      <c r="N27" s="3"/>
      <c r="O27" s="66">
        <f>-SUM(O29:O34)</f>
        <v>46283.301829999989</v>
      </c>
      <c r="P27" s="67"/>
      <c r="Q27" s="66">
        <f>-SUM(Q29:Q34)</f>
        <v>-16456.045969999999</v>
      </c>
      <c r="R27" s="3"/>
      <c r="S27" s="34">
        <f>SUM(S29:S34)</f>
        <v>-62739.347799999996</v>
      </c>
      <c r="T27" s="3"/>
      <c r="U27" s="68">
        <f>-S27/Q27</f>
        <v>-3.8125408688318094</v>
      </c>
    </row>
    <row r="28" spans="2:23" ht="15" customHeight="1">
      <c r="B28" s="1" t="str">
        <f t="shared" si="1"/>
        <v>45657</v>
      </c>
      <c r="C28" s="1" t="str">
        <f t="shared" si="0"/>
        <v>45291</v>
      </c>
      <c r="D28" s="70"/>
      <c r="E28" s="24"/>
      <c r="F28" s="24"/>
      <c r="G28" s="72"/>
      <c r="H28" s="73"/>
      <c r="I28" s="72"/>
      <c r="J28" s="72"/>
      <c r="K28" s="72"/>
      <c r="L28" s="72"/>
      <c r="M28" s="74"/>
      <c r="O28" s="72"/>
      <c r="P28" s="73"/>
      <c r="Q28" s="72"/>
      <c r="S28" s="9"/>
      <c r="U28" s="74"/>
      <c r="W28" s="9"/>
    </row>
    <row r="29" spans="2:23" ht="15" hidden="1" customHeight="1" outlineLevel="1">
      <c r="B29" s="1" t="str">
        <f t="shared" si="1"/>
        <v>Custos com pessoal45657</v>
      </c>
      <c r="C29" s="1" t="str">
        <f>$D29&amp;$C$11</f>
        <v>Custos com pessoal45291</v>
      </c>
      <c r="D29" s="80" t="s">
        <v>63</v>
      </c>
      <c r="E29" s="24"/>
      <c r="F29" s="24"/>
      <c r="G29" s="72">
        <v>50201.693749999999</v>
      </c>
      <c r="H29" s="73"/>
      <c r="I29" s="72">
        <v>43509.937429999998</v>
      </c>
      <c r="J29" s="72"/>
      <c r="K29" s="72">
        <f t="shared" ref="K29:K34" si="2">G29-I29</f>
        <v>6691.7563200000004</v>
      </c>
      <c r="L29" s="72"/>
      <c r="M29" s="74">
        <f t="shared" ref="M29:M34" si="3">K29/I29</f>
        <v>0.15379834390168648</v>
      </c>
      <c r="O29" s="72">
        <v>5058.1850200000008</v>
      </c>
      <c r="P29" s="73"/>
      <c r="Q29" s="72">
        <v>4693.1121099999991</v>
      </c>
      <c r="S29" s="9">
        <f t="shared" ref="S29:S34" si="4">O29-Q29</f>
        <v>365.07291000000168</v>
      </c>
      <c r="U29" s="74">
        <f t="shared" ref="U29:U34" si="5">S29/Q29</f>
        <v>7.778908780425485E-2</v>
      </c>
    </row>
    <row r="30" spans="2:23" ht="15" hidden="1" customHeight="1" outlineLevel="1">
      <c r="B30" s="1" t="str">
        <f t="shared" si="1"/>
        <v>Custos com infraestrutura portuária45657</v>
      </c>
      <c r="C30" s="1" t="str">
        <f t="shared" si="0"/>
        <v>Custos com infraestrutura portuária45291</v>
      </c>
      <c r="D30" s="80" t="s">
        <v>64</v>
      </c>
      <c r="E30" s="24"/>
      <c r="F30" s="24"/>
      <c r="G30" s="72">
        <v>19238.999339999998</v>
      </c>
      <c r="H30" s="73"/>
      <c r="I30" s="72">
        <v>24619.962869999999</v>
      </c>
      <c r="J30" s="72"/>
      <c r="K30" s="72">
        <f t="shared" si="2"/>
        <v>-5380.9635300000009</v>
      </c>
      <c r="L30" s="72"/>
      <c r="M30" s="74">
        <f t="shared" si="3"/>
        <v>-0.2185609928988492</v>
      </c>
      <c r="O30" s="72">
        <v>1818.35842</v>
      </c>
      <c r="P30" s="73"/>
      <c r="Q30" s="72">
        <v>6980.4159900000004</v>
      </c>
      <c r="S30" s="9">
        <f t="shared" si="4"/>
        <v>-5162.0575700000009</v>
      </c>
      <c r="U30" s="74">
        <f t="shared" si="5"/>
        <v>-0.73950572249491398</v>
      </c>
    </row>
    <row r="31" spans="2:23" ht="15" hidden="1" customHeight="1" outlineLevel="1">
      <c r="B31" s="1" t="str">
        <f t="shared" si="1"/>
        <v>Custos gerais45657</v>
      </c>
      <c r="C31" s="1" t="str">
        <f t="shared" si="0"/>
        <v>Custos gerais45291</v>
      </c>
      <c r="D31" s="80" t="s">
        <v>65</v>
      </c>
      <c r="E31" s="24"/>
      <c r="F31" s="24"/>
      <c r="G31" s="72">
        <v>52624.393889999999</v>
      </c>
      <c r="H31" s="73"/>
      <c r="I31" s="72">
        <v>42467.394500000002</v>
      </c>
      <c r="J31" s="72"/>
      <c r="K31" s="72">
        <f t="shared" si="2"/>
        <v>10156.999389999997</v>
      </c>
      <c r="L31" s="72"/>
      <c r="M31" s="74">
        <f t="shared" si="3"/>
        <v>0.23917171066381285</v>
      </c>
      <c r="O31" s="72">
        <v>-53995.201269999998</v>
      </c>
      <c r="P31" s="73"/>
      <c r="Q31" s="72">
        <v>4123.534270000001</v>
      </c>
      <c r="S31" s="9">
        <f t="shared" si="4"/>
        <v>-58118.735540000001</v>
      </c>
      <c r="U31" s="74">
        <f t="shared" si="5"/>
        <v>-14.094398575229977</v>
      </c>
    </row>
    <row r="32" spans="2:23" ht="15" hidden="1" customHeight="1" outlineLevel="1">
      <c r="B32" s="1" t="str">
        <f t="shared" si="1"/>
        <v>Custos com materiais45657</v>
      </c>
      <c r="C32" s="1" t="str">
        <f t="shared" si="0"/>
        <v>Custos com materiais45291</v>
      </c>
      <c r="D32" s="80" t="s">
        <v>66</v>
      </c>
      <c r="E32" s="24"/>
      <c r="F32" s="24"/>
      <c r="G32" s="72">
        <v>950.12909000000002</v>
      </c>
      <c r="H32" s="73"/>
      <c r="I32" s="72">
        <v>646.91476</v>
      </c>
      <c r="J32" s="72"/>
      <c r="K32" s="72">
        <f t="shared" si="2"/>
        <v>303.21433000000002</v>
      </c>
      <c r="L32" s="72"/>
      <c r="M32" s="74">
        <f t="shared" si="3"/>
        <v>0.46870831947009528</v>
      </c>
      <c r="O32" s="72">
        <v>160.85835</v>
      </c>
      <c r="P32" s="73"/>
      <c r="Q32" s="72">
        <v>48.834809999999997</v>
      </c>
      <c r="S32" s="9">
        <f t="shared" si="4"/>
        <v>112.02354</v>
      </c>
      <c r="U32" s="74">
        <f t="shared" si="5"/>
        <v>2.2939280402647211</v>
      </c>
    </row>
    <row r="33" spans="2:24" ht="15" hidden="1" customHeight="1" outlineLevel="1">
      <c r="B33" s="1" t="str">
        <f t="shared" si="1"/>
        <v>Custos com serviços essenciais45657</v>
      </c>
      <c r="C33" s="1" t="str">
        <f t="shared" si="0"/>
        <v>Custos com serviços essenciais45291</v>
      </c>
      <c r="D33" s="80" t="s">
        <v>67</v>
      </c>
      <c r="E33" s="24"/>
      <c r="F33" s="24"/>
      <c r="G33" s="72">
        <v>3537.58016</v>
      </c>
      <c r="H33" s="73"/>
      <c r="I33" s="72">
        <v>2798.9116899999999</v>
      </c>
      <c r="J33" s="72"/>
      <c r="K33" s="72">
        <f t="shared" si="2"/>
        <v>738.66847000000007</v>
      </c>
      <c r="L33" s="72"/>
      <c r="M33" s="74">
        <f t="shared" si="3"/>
        <v>0.26391274602879666</v>
      </c>
      <c r="O33" s="72">
        <v>306.1952</v>
      </c>
      <c r="P33" s="73"/>
      <c r="Q33" s="72">
        <v>251.26029</v>
      </c>
      <c r="S33" s="9">
        <f t="shared" si="4"/>
        <v>54.934910000000002</v>
      </c>
      <c r="U33" s="74">
        <f t="shared" si="5"/>
        <v>0.21863745361433756</v>
      </c>
      <c r="X33" s="72"/>
    </row>
    <row r="34" spans="2:24" ht="15" hidden="1" customHeight="1" outlineLevel="1">
      <c r="B34" s="1" t="str">
        <f t="shared" si="1"/>
        <v>Outros custos45657</v>
      </c>
      <c r="C34" s="1" t="str">
        <f t="shared" si="0"/>
        <v>Outros custos45291</v>
      </c>
      <c r="D34" s="80" t="s">
        <v>68</v>
      </c>
      <c r="E34" s="24"/>
      <c r="F34" s="24"/>
      <c r="G34" s="72">
        <v>3944.36852</v>
      </c>
      <c r="H34" s="73"/>
      <c r="I34" s="72">
        <v>4166.1675699999996</v>
      </c>
      <c r="J34" s="72"/>
      <c r="K34" s="72">
        <f t="shared" si="2"/>
        <v>-221.79904999999962</v>
      </c>
      <c r="L34" s="72"/>
      <c r="M34" s="74">
        <f t="shared" si="3"/>
        <v>-5.3238149035853506E-2</v>
      </c>
      <c r="O34" s="72">
        <v>368.30244999999996</v>
      </c>
      <c r="P34" s="73"/>
      <c r="Q34" s="72">
        <v>358.88850000000002</v>
      </c>
      <c r="S34" s="72">
        <f t="shared" si="4"/>
        <v>9.413949999999943</v>
      </c>
      <c r="U34" s="74">
        <f t="shared" si="5"/>
        <v>2.6230848856956805E-2</v>
      </c>
    </row>
    <row r="35" spans="2:24" s="3" customFormat="1" ht="15" hidden="1" customHeight="1" outlineLevel="1">
      <c r="B35" s="1" t="str">
        <f t="shared" si="1"/>
        <v>45657</v>
      </c>
      <c r="C35" s="1" t="str">
        <f t="shared" si="0"/>
        <v>45291</v>
      </c>
      <c r="D35" s="71"/>
      <c r="E35" s="24"/>
      <c r="F35" s="24"/>
      <c r="G35" s="73"/>
      <c r="H35" s="73"/>
      <c r="I35" s="73"/>
      <c r="J35" s="73"/>
      <c r="K35" s="73"/>
      <c r="L35" s="73"/>
      <c r="O35" s="73"/>
      <c r="P35" s="73"/>
      <c r="Q35" s="73"/>
    </row>
    <row r="36" spans="2:24" ht="15" customHeight="1" collapsed="1">
      <c r="B36" s="1" t="str">
        <f t="shared" si="1"/>
        <v>Lucro bruto45657</v>
      </c>
      <c r="C36" s="1" t="str">
        <f t="shared" si="0"/>
        <v>Lucro bruto45291</v>
      </c>
      <c r="D36" s="3" t="s">
        <v>69</v>
      </c>
      <c r="E36" s="24"/>
      <c r="F36" s="24"/>
      <c r="G36" s="66">
        <f>+G25+G27</f>
        <v>296437.23192999995</v>
      </c>
      <c r="H36" s="67"/>
      <c r="I36" s="66">
        <f>+I25+I27</f>
        <v>322433.69980000006</v>
      </c>
      <c r="J36" s="67"/>
      <c r="K36" s="66">
        <f>G36-I36</f>
        <v>-25996.46787000011</v>
      </c>
      <c r="L36" s="67"/>
      <c r="M36" s="68">
        <f>K36/I36</f>
        <v>-8.0625777907598561E-2</v>
      </c>
      <c r="O36" s="66">
        <f>+O25+O27</f>
        <v>72720.318269999989</v>
      </c>
      <c r="P36" s="67"/>
      <c r="Q36" s="66">
        <f>+Q25+Q27</f>
        <v>8731.6831300000013</v>
      </c>
      <c r="S36" s="34">
        <f>O36-Q36</f>
        <v>63988.635139999984</v>
      </c>
      <c r="T36" s="3"/>
      <c r="U36" s="68">
        <f>S36/Q36</f>
        <v>7.3283276760410772</v>
      </c>
    </row>
    <row r="37" spans="2:24" s="3" customFormat="1" ht="15" customHeight="1">
      <c r="B37" s="1" t="str">
        <f t="shared" si="1"/>
        <v>45657</v>
      </c>
      <c r="C37" s="1" t="str">
        <f>$D37&amp;$C$11</f>
        <v>45291</v>
      </c>
      <c r="D37" s="71"/>
      <c r="E37" s="24"/>
      <c r="F37" s="24"/>
      <c r="G37" s="73"/>
      <c r="H37" s="73"/>
      <c r="I37" s="73"/>
      <c r="J37" s="73"/>
      <c r="K37" s="73"/>
      <c r="L37" s="73"/>
      <c r="O37" s="73"/>
      <c r="P37" s="73"/>
      <c r="Q37" s="73"/>
    </row>
    <row r="38" spans="2:24" ht="15" customHeight="1">
      <c r="B38" s="1" t="str">
        <f>$D38&amp;$B$11</f>
        <v>Despesas gerais e administrativas45657</v>
      </c>
      <c r="C38" s="1" t="str">
        <f t="shared" si="0"/>
        <v>Despesas gerais e administrativas45291</v>
      </c>
      <c r="D38" s="70" t="s">
        <v>70</v>
      </c>
      <c r="E38" s="24">
        <v>25</v>
      </c>
      <c r="F38" s="24"/>
      <c r="G38" s="77">
        <f>+SUM(G40:G46)</f>
        <v>-173488.02025</v>
      </c>
      <c r="H38" s="78"/>
      <c r="I38" s="77">
        <f>+SUM(I40:I46)</f>
        <v>-148275.96507000001</v>
      </c>
      <c r="J38" s="78"/>
      <c r="K38" s="77">
        <f>SUM(K40:K46)</f>
        <v>25212.055179999988</v>
      </c>
      <c r="L38" s="78"/>
      <c r="M38" s="68">
        <f>-K38/I38</f>
        <v>0.17003467263286778</v>
      </c>
      <c r="O38" s="77">
        <f>+SUM(O40:O46)</f>
        <v>-53557.713640000009</v>
      </c>
      <c r="P38" s="78"/>
      <c r="Q38" s="77">
        <f>+SUM(Q40:Q46)</f>
        <v>-12197.640179999999</v>
      </c>
      <c r="S38" s="77">
        <f>SUM(S40:S46)</f>
        <v>41360.073460000007</v>
      </c>
      <c r="U38" s="68">
        <f>-S38/Q38</f>
        <v>3.3908258359528043</v>
      </c>
      <c r="W38" s="9"/>
    </row>
    <row r="39" spans="2:24" s="3" customFormat="1" ht="15" hidden="1" customHeight="1">
      <c r="B39" s="1" t="str">
        <f t="shared" si="1"/>
        <v>45657</v>
      </c>
      <c r="C39" s="1" t="str">
        <f t="shared" si="0"/>
        <v>45291</v>
      </c>
      <c r="D39" s="81"/>
      <c r="E39" s="24"/>
      <c r="F39" s="24"/>
      <c r="G39" s="73"/>
      <c r="H39" s="73"/>
      <c r="I39" s="73"/>
      <c r="J39" s="73"/>
      <c r="K39" s="73"/>
      <c r="L39" s="73"/>
      <c r="O39" s="73"/>
      <c r="P39" s="73"/>
      <c r="Q39" s="73"/>
    </row>
    <row r="40" spans="2:24" ht="15" hidden="1" customHeight="1" outlineLevel="1">
      <c r="B40" s="1" t="str">
        <f t="shared" si="1"/>
        <v>Pessoal/encargos e benefícios45657</v>
      </c>
      <c r="C40" s="1" t="str">
        <f t="shared" si="0"/>
        <v>Pessoal/encargos e benefícios45291</v>
      </c>
      <c r="D40" s="81" t="s">
        <v>71</v>
      </c>
      <c r="E40" s="24"/>
      <c r="F40" s="24"/>
      <c r="G40" s="9">
        <v>-67803.33679999999</v>
      </c>
      <c r="H40" s="9"/>
      <c r="I40" s="9">
        <v>-58885.515530000004</v>
      </c>
      <c r="J40" s="9"/>
      <c r="K40" s="9">
        <f>-G40+I40</f>
        <v>8917.8212699999858</v>
      </c>
      <c r="L40" s="9"/>
      <c r="M40" s="74">
        <f>-K40/I40</f>
        <v>0.15144337601080665</v>
      </c>
      <c r="O40" s="9">
        <v>-6245.7140100000006</v>
      </c>
      <c r="P40" s="9"/>
      <c r="Q40" s="9">
        <v>-6544.3378299999995</v>
      </c>
      <c r="S40" s="9">
        <f>-O40+Q40</f>
        <v>-298.62381999999889</v>
      </c>
      <c r="U40" s="74">
        <f>S40/Q40</f>
        <v>4.5630868661925256E-2</v>
      </c>
    </row>
    <row r="41" spans="2:24" ht="15" hidden="1" customHeight="1" outlineLevel="1">
      <c r="B41" s="1" t="str">
        <f t="shared" si="1"/>
        <v>Despesas gerais45657</v>
      </c>
      <c r="C41" s="1" t="str">
        <f t="shared" si="0"/>
        <v>Despesas gerais45291</v>
      </c>
      <c r="D41" s="81" t="s">
        <v>72</v>
      </c>
      <c r="E41" s="24"/>
      <c r="F41" s="24"/>
      <c r="G41" s="9">
        <v>-39614.308590000001</v>
      </c>
      <c r="H41" s="9"/>
      <c r="I41" s="9">
        <v>-34015.111320000004</v>
      </c>
      <c r="J41" s="9"/>
      <c r="K41" s="9">
        <f t="shared" ref="K41:K46" si="6">-G41+I41</f>
        <v>5599.1972699999969</v>
      </c>
      <c r="L41" s="9"/>
      <c r="M41" s="74">
        <f t="shared" ref="M41:M46" si="7">-K41/I41</f>
        <v>0.16460911203038792</v>
      </c>
      <c r="O41" s="9">
        <v>-5101.47588</v>
      </c>
      <c r="P41" s="9"/>
      <c r="Q41" s="9">
        <v>-3621.1351800000002</v>
      </c>
      <c r="S41" s="9">
        <f t="shared" ref="S41:S46" si="8">-O41+Q41</f>
        <v>1480.3406999999997</v>
      </c>
      <c r="U41" s="74">
        <f t="shared" ref="U41:U46" si="9">S41/Q41</f>
        <v>-0.40880569943262918</v>
      </c>
    </row>
    <row r="42" spans="2:24" ht="15" hidden="1" customHeight="1" outlineLevel="1">
      <c r="B42" s="1" t="str">
        <f t="shared" si="1"/>
        <v>Materiais45657</v>
      </c>
      <c r="C42" s="1" t="str">
        <f t="shared" si="0"/>
        <v>Materiais45291</v>
      </c>
      <c r="D42" s="81" t="s">
        <v>73</v>
      </c>
      <c r="E42" s="24"/>
      <c r="F42" s="24"/>
      <c r="G42" s="9">
        <v>-852.91701</v>
      </c>
      <c r="H42" s="9"/>
      <c r="I42" s="9">
        <v>-923.03387999999995</v>
      </c>
      <c r="J42" s="9"/>
      <c r="K42" s="9">
        <f t="shared" si="6"/>
        <v>-70.116869999999949</v>
      </c>
      <c r="L42" s="9"/>
      <c r="M42" s="74">
        <f t="shared" si="7"/>
        <v>-7.5963484677290444E-2</v>
      </c>
      <c r="O42" s="9">
        <v>-91.846589999999992</v>
      </c>
      <c r="P42" s="9"/>
      <c r="Q42" s="9">
        <v>-65.766210000000001</v>
      </c>
      <c r="S42" s="9">
        <f t="shared" si="8"/>
        <v>26.080379999999991</v>
      </c>
      <c r="U42" s="74">
        <f t="shared" si="9"/>
        <v>-0.39656200349693238</v>
      </c>
    </row>
    <row r="43" spans="2:24" ht="15" hidden="1" customHeight="1" outlineLevel="1">
      <c r="B43" s="1" t="str">
        <f t="shared" si="1"/>
        <v>Serviços essenciais45657</v>
      </c>
      <c r="C43" s="1" t="str">
        <f t="shared" si="0"/>
        <v>Serviços essenciais45291</v>
      </c>
      <c r="D43" s="82" t="s">
        <v>74</v>
      </c>
      <c r="E43" s="24"/>
      <c r="F43" s="24"/>
      <c r="G43" s="9">
        <v>-1156.6600100000001</v>
      </c>
      <c r="H43" s="9"/>
      <c r="I43" s="9">
        <v>-916.50406000000009</v>
      </c>
      <c r="J43" s="9"/>
      <c r="K43" s="9">
        <f t="shared" si="6"/>
        <v>240.15594999999996</v>
      </c>
      <c r="L43" s="9"/>
      <c r="M43" s="74">
        <f t="shared" si="7"/>
        <v>0.26203479120430728</v>
      </c>
      <c r="O43" s="9">
        <v>-100.65305000000001</v>
      </c>
      <c r="P43" s="9"/>
      <c r="Q43" s="9">
        <v>-80.990889999999993</v>
      </c>
      <c r="S43" s="9">
        <f>-O43+Q43</f>
        <v>19.662160000000014</v>
      </c>
      <c r="U43" s="74">
        <f t="shared" si="9"/>
        <v>-0.24277002018375174</v>
      </c>
    </row>
    <row r="44" spans="2:24" ht="15" hidden="1" customHeight="1" outlineLevel="1">
      <c r="B44" s="1" t="str">
        <f t="shared" si="1"/>
        <v>Provisão/(reversão) de contingências.45657</v>
      </c>
      <c r="C44" s="1" t="str">
        <f t="shared" si="0"/>
        <v>Provisão/(reversão) de contingências.45291</v>
      </c>
      <c r="D44" s="83" t="s">
        <v>75</v>
      </c>
      <c r="E44" s="24"/>
      <c r="F44" s="24"/>
      <c r="G44" s="9">
        <v>-43.939480000000003</v>
      </c>
      <c r="H44" s="9"/>
      <c r="I44" s="9">
        <v>-530.91236000000004</v>
      </c>
      <c r="J44" s="9"/>
      <c r="K44" s="9">
        <f t="shared" si="6"/>
        <v>-486.97288000000003</v>
      </c>
      <c r="L44" s="9"/>
      <c r="M44" s="1">
        <f>-K44/I44</f>
        <v>-0.91723779043305753</v>
      </c>
      <c r="O44" s="9">
        <v>0</v>
      </c>
      <c r="P44" s="9"/>
      <c r="Q44" s="9">
        <v>-60.589660000000009</v>
      </c>
      <c r="S44" s="9">
        <f>-O44+Q44</f>
        <v>-60.589660000000009</v>
      </c>
      <c r="U44" s="74">
        <f>S44/Q44</f>
        <v>1</v>
      </c>
    </row>
    <row r="45" spans="2:24" ht="15" hidden="1" customHeight="1" outlineLevel="1">
      <c r="B45" s="1" t="str">
        <f t="shared" si="1"/>
        <v>Outras despesas45657</v>
      </c>
      <c r="C45" s="1" t="str">
        <f t="shared" si="0"/>
        <v>Outras despesas45291</v>
      </c>
      <c r="D45" s="83" t="s">
        <v>76</v>
      </c>
      <c r="E45" s="24"/>
      <c r="F45" s="24"/>
      <c r="G45" s="9">
        <v>-37738.4329</v>
      </c>
      <c r="H45" s="9"/>
      <c r="I45" s="9">
        <v>-42959.613079999996</v>
      </c>
      <c r="J45" s="9"/>
      <c r="K45" s="9">
        <f t="shared" si="6"/>
        <v>-5221.1801799999957</v>
      </c>
      <c r="L45" s="9"/>
      <c r="M45" s="74">
        <f t="shared" si="7"/>
        <v>-0.1215369461144131</v>
      </c>
      <c r="O45" s="9">
        <v>-26266.838830000001</v>
      </c>
      <c r="P45" s="9"/>
      <c r="Q45" s="9">
        <v>-953.2316800000001</v>
      </c>
      <c r="S45" s="9">
        <f t="shared" si="8"/>
        <v>25313.60715</v>
      </c>
      <c r="U45" s="74">
        <f t="shared" si="9"/>
        <v>-26.555566376056657</v>
      </c>
    </row>
    <row r="46" spans="2:24" ht="15" hidden="1" customHeight="1" outlineLevel="1">
      <c r="B46" s="1" t="str">
        <f t="shared" si="1"/>
        <v>Depreciação e Amortização45657</v>
      </c>
      <c r="C46" s="1" t="str">
        <f t="shared" si="0"/>
        <v>Depreciação e Amortização45291</v>
      </c>
      <c r="D46" s="81" t="s">
        <v>77</v>
      </c>
      <c r="E46" s="55"/>
      <c r="F46" s="55"/>
      <c r="G46" s="36">
        <v>-26278.425460000002</v>
      </c>
      <c r="H46" s="9"/>
      <c r="I46" s="36">
        <v>-10045.27484</v>
      </c>
      <c r="J46" s="9"/>
      <c r="K46" s="36">
        <f t="shared" si="6"/>
        <v>16233.150620000002</v>
      </c>
      <c r="L46" s="9"/>
      <c r="M46" s="84">
        <f t="shared" si="7"/>
        <v>1.6159986539502191</v>
      </c>
      <c r="O46" s="36">
        <v>-15751.185280000005</v>
      </c>
      <c r="P46" s="9"/>
      <c r="Q46" s="36">
        <v>-871.58873000000017</v>
      </c>
      <c r="S46" s="36">
        <f t="shared" si="8"/>
        <v>14879.596550000006</v>
      </c>
      <c r="U46" s="84">
        <f t="shared" si="9"/>
        <v>-17.071809258020124</v>
      </c>
    </row>
    <row r="47" spans="2:24" s="3" customFormat="1" ht="15" customHeight="1" collapsed="1">
      <c r="B47" s="1" t="str">
        <f t="shared" si="1"/>
        <v>45657</v>
      </c>
      <c r="C47" s="1" t="str">
        <f t="shared" si="0"/>
        <v>45291</v>
      </c>
      <c r="D47" s="81"/>
      <c r="E47" s="24"/>
      <c r="F47" s="24"/>
      <c r="G47" s="72"/>
      <c r="H47" s="73"/>
      <c r="I47" s="72"/>
      <c r="J47" s="72"/>
      <c r="K47" s="72"/>
      <c r="L47" s="72"/>
      <c r="O47" s="72"/>
      <c r="P47" s="73"/>
      <c r="Q47" s="72"/>
    </row>
    <row r="48" spans="2:24" ht="15" customHeight="1">
      <c r="B48" s="1" t="str">
        <f t="shared" si="1"/>
        <v>Resultado financeiro45657</v>
      </c>
      <c r="C48" s="1" t="str">
        <f t="shared" si="0"/>
        <v>Resultado financeiro45291</v>
      </c>
      <c r="D48" s="3" t="s">
        <v>78</v>
      </c>
      <c r="E48" s="24"/>
      <c r="F48" s="24"/>
      <c r="G48" s="66">
        <f>SUM(G50:G51)</f>
        <v>-22490.735119999998</v>
      </c>
      <c r="H48" s="67"/>
      <c r="I48" s="66">
        <f>SUM(I50:I51)</f>
        <v>-18632.908789999994</v>
      </c>
      <c r="J48" s="67"/>
      <c r="K48" s="66">
        <f>G48-I48</f>
        <v>-3857.8263300000035</v>
      </c>
      <c r="L48" s="67"/>
      <c r="M48" s="68">
        <f>K48/I48</f>
        <v>0.20704369744301232</v>
      </c>
      <c r="O48" s="66">
        <f>SUM(O50:O51)</f>
        <v>-3440.5920299999998</v>
      </c>
      <c r="P48" s="67"/>
      <c r="Q48" s="66">
        <f>SUM(Q50:Q51)</f>
        <v>-1217.8704300000009</v>
      </c>
      <c r="S48" s="66">
        <f>O48-Q48</f>
        <v>-2222.7215999999989</v>
      </c>
      <c r="U48" s="68">
        <f>S48/Q48</f>
        <v>1.8250887329615166</v>
      </c>
    </row>
    <row r="49" spans="2:24" s="3" customFormat="1" ht="15" customHeight="1">
      <c r="B49" s="1" t="str">
        <f t="shared" si="1"/>
        <v>45657</v>
      </c>
      <c r="C49" s="1" t="str">
        <f t="shared" si="0"/>
        <v>45291</v>
      </c>
      <c r="D49" s="71"/>
      <c r="E49" s="24"/>
      <c r="F49" s="24"/>
      <c r="G49" s="73"/>
      <c r="H49" s="73"/>
      <c r="I49" s="73"/>
      <c r="J49" s="73"/>
      <c r="K49" s="73"/>
      <c r="L49" s="73"/>
      <c r="O49" s="73"/>
      <c r="P49" s="73"/>
      <c r="Q49" s="73"/>
    </row>
    <row r="50" spans="2:24" ht="15" customHeight="1">
      <c r="B50" s="1" t="str">
        <f t="shared" si="1"/>
        <v>Receitas financeiras45657</v>
      </c>
      <c r="C50" s="1" t="str">
        <f t="shared" si="0"/>
        <v>Receitas financeiras45291</v>
      </c>
      <c r="D50" s="76" t="s">
        <v>79</v>
      </c>
      <c r="E50" s="24"/>
      <c r="F50" s="24"/>
      <c r="G50" s="72">
        <v>34782.187810000003</v>
      </c>
      <c r="H50" s="73"/>
      <c r="I50" s="72">
        <v>34391.188270000006</v>
      </c>
      <c r="J50" s="72"/>
      <c r="K50" s="72">
        <f>G50-I50</f>
        <v>390.99953999999707</v>
      </c>
      <c r="L50" s="72"/>
      <c r="M50" s="74">
        <f>K50/I50</f>
        <v>1.136917796879593E-2</v>
      </c>
      <c r="O50" s="72">
        <v>3132.7157900000002</v>
      </c>
      <c r="P50" s="73"/>
      <c r="Q50" s="72">
        <v>2888.4419499999995</v>
      </c>
      <c r="S50" s="72">
        <f>O50-Q50</f>
        <v>244.27384000000075</v>
      </c>
      <c r="U50" s="74">
        <f>S50/Q50</f>
        <v>8.4569412932117533E-2</v>
      </c>
    </row>
    <row r="51" spans="2:24" ht="15" customHeight="1">
      <c r="B51" s="1" t="str">
        <f t="shared" si="1"/>
        <v>Despesas financeiras45657</v>
      </c>
      <c r="C51" s="1" t="str">
        <f t="shared" si="0"/>
        <v>Despesas financeiras45291</v>
      </c>
      <c r="D51" s="76" t="s">
        <v>80</v>
      </c>
      <c r="E51" s="24"/>
      <c r="F51" s="24"/>
      <c r="G51" s="72">
        <v>-57272.922930000001</v>
      </c>
      <c r="H51" s="73"/>
      <c r="I51" s="72">
        <v>-53024.09706</v>
      </c>
      <c r="J51" s="72"/>
      <c r="K51" s="72">
        <f>G51-I51</f>
        <v>-4248.8258700000006</v>
      </c>
      <c r="L51" s="72"/>
      <c r="M51" s="74">
        <f>K51/I51</f>
        <v>8.0130093779667663E-2</v>
      </c>
      <c r="O51" s="72">
        <v>-6573.30782</v>
      </c>
      <c r="P51" s="73"/>
      <c r="Q51" s="72">
        <v>-4106.3123800000003</v>
      </c>
      <c r="S51" s="72">
        <f>O51-Q51</f>
        <v>-2466.9954399999997</v>
      </c>
      <c r="U51" s="74">
        <f>S51/Q51</f>
        <v>0.60078123915161064</v>
      </c>
    </row>
    <row r="52" spans="2:24" ht="15" hidden="1" customHeight="1">
      <c r="B52" s="1" t="str">
        <f t="shared" si="1"/>
        <v>45657</v>
      </c>
      <c r="C52" s="1" t="str">
        <f t="shared" si="0"/>
        <v>45291</v>
      </c>
      <c r="D52" s="71"/>
      <c r="E52" s="24"/>
      <c r="F52" s="24"/>
      <c r="G52" s="73"/>
      <c r="H52" s="73"/>
      <c r="I52" s="73"/>
      <c r="J52" s="73"/>
      <c r="K52" s="73"/>
      <c r="L52" s="73"/>
      <c r="O52" s="73"/>
      <c r="P52" s="73"/>
      <c r="Q52" s="73"/>
    </row>
    <row r="53" spans="2:24" ht="15" customHeight="1">
      <c r="B53" s="1" t="str">
        <f t="shared" si="1"/>
        <v>Resultado antes dos tributos sobre o lucro45657</v>
      </c>
      <c r="C53" s="1" t="str">
        <f t="shared" si="0"/>
        <v>Resultado antes dos tributos sobre o lucro45291</v>
      </c>
      <c r="D53" s="3" t="s">
        <v>81</v>
      </c>
      <c r="E53" s="24"/>
      <c r="F53" s="24"/>
      <c r="G53" s="66">
        <f>+G36+G38+G48</f>
        <v>100458.47655999995</v>
      </c>
      <c r="H53" s="67"/>
      <c r="I53" s="66">
        <f>+I36+I38+I48</f>
        <v>155524.82594000007</v>
      </c>
      <c r="J53" s="67"/>
      <c r="K53" s="66">
        <f>G53-I53</f>
        <v>-55066.349380000116</v>
      </c>
      <c r="L53" s="67"/>
      <c r="M53" s="68">
        <f>K53/I53</f>
        <v>-0.35406790553968642</v>
      </c>
      <c r="O53" s="66">
        <f>+O36+O38+O48</f>
        <v>15722.01259999998</v>
      </c>
      <c r="P53" s="67"/>
      <c r="Q53" s="66">
        <f>+Q36+Q38+Q48</f>
        <v>-4683.8274799999981</v>
      </c>
      <c r="S53" s="66">
        <f>O53-Q53</f>
        <v>20405.84007999998</v>
      </c>
      <c r="U53" s="68">
        <f>S53/Q53</f>
        <v>-4.3566591995826434</v>
      </c>
    </row>
    <row r="54" spans="2:24" s="3" customFormat="1" ht="15" customHeight="1">
      <c r="B54" s="1" t="str">
        <f t="shared" si="1"/>
        <v>45657</v>
      </c>
      <c r="C54" s="1" t="str">
        <f t="shared" si="0"/>
        <v>45291</v>
      </c>
      <c r="D54" s="71"/>
      <c r="E54" s="24"/>
      <c r="F54" s="24"/>
      <c r="G54" s="72"/>
      <c r="H54" s="73"/>
      <c r="I54" s="72"/>
      <c r="J54" s="72"/>
      <c r="K54" s="72"/>
      <c r="L54" s="72"/>
      <c r="O54" s="72"/>
      <c r="P54" s="73"/>
      <c r="Q54" s="72"/>
    </row>
    <row r="55" spans="2:24" ht="15" customHeight="1">
      <c r="B55" s="1" t="str">
        <f t="shared" si="1"/>
        <v>Tributos sobre o Lucro45657</v>
      </c>
      <c r="C55" s="1" t="str">
        <f t="shared" si="0"/>
        <v>Tributos sobre o Lucro45291</v>
      </c>
      <c r="D55" s="70" t="s">
        <v>82</v>
      </c>
      <c r="E55" s="24">
        <v>26</v>
      </c>
      <c r="F55" s="24"/>
      <c r="G55" s="77">
        <f>+SUM(G56:G58)</f>
        <v>-15215.560869999999</v>
      </c>
      <c r="H55" s="78"/>
      <c r="I55" s="77">
        <f>+SUM(I56:I58)</f>
        <v>-29354.990989999998</v>
      </c>
      <c r="J55" s="78"/>
      <c r="K55" s="77">
        <f>SUM(K56:K57)</f>
        <v>30980.094999999998</v>
      </c>
      <c r="L55" s="78"/>
      <c r="M55" s="68">
        <f>K55/I55</f>
        <v>-1.0553603988689215</v>
      </c>
      <c r="O55" s="77">
        <f>+SUM(O56:O58)</f>
        <v>1051.8062600000001</v>
      </c>
      <c r="P55" s="78"/>
      <c r="Q55" s="77">
        <f>+SUM(Q56:Q58)</f>
        <v>781.35125000000016</v>
      </c>
      <c r="S55" s="77">
        <f>SUM(S56:S57)</f>
        <v>925.63338000000022</v>
      </c>
      <c r="U55" s="68">
        <f>S55/Q55</f>
        <v>1.1846571948275504</v>
      </c>
    </row>
    <row r="56" spans="2:24" ht="15" customHeight="1">
      <c r="B56" s="1" t="str">
        <f t="shared" si="1"/>
        <v>(-) Provisão para Contribuição Social45657</v>
      </c>
      <c r="C56" s="1" t="str">
        <f t="shared" si="0"/>
        <v>(-) Provisão para Contribuição Social45291</v>
      </c>
      <c r="D56" s="81" t="s">
        <v>83</v>
      </c>
      <c r="E56" s="24"/>
      <c r="G56" s="72">
        <v>-7287.3300300000001</v>
      </c>
      <c r="H56" s="73"/>
      <c r="I56" s="72">
        <v>-15487.94341</v>
      </c>
      <c r="J56" s="72"/>
      <c r="K56" s="72">
        <f>G56-I56</f>
        <v>8200.6133799999989</v>
      </c>
      <c r="L56" s="72"/>
      <c r="M56" s="74">
        <f>K56/I56</f>
        <v>-0.52948368695001569</v>
      </c>
      <c r="O56" s="72">
        <v>740.89107999999999</v>
      </c>
      <c r="P56" s="73"/>
      <c r="Q56" s="72">
        <v>495.87047999999999</v>
      </c>
      <c r="S56" s="72">
        <f>O56-Q56</f>
        <v>245.0206</v>
      </c>
      <c r="U56" s="74">
        <f>S56/Q56</f>
        <v>0.49412217480661486</v>
      </c>
    </row>
    <row r="57" spans="2:24" ht="15" customHeight="1">
      <c r="B57" s="1" t="str">
        <f t="shared" si="1"/>
        <v>(-) Provisão para IRPJ45657</v>
      </c>
      <c r="C57" s="1" t="str">
        <f t="shared" si="0"/>
        <v>(-) Provisão para IRPJ45291</v>
      </c>
      <c r="D57" s="81" t="s">
        <v>84</v>
      </c>
      <c r="E57" s="24"/>
      <c r="G57" s="72">
        <v>-20218.583409999999</v>
      </c>
      <c r="H57" s="73"/>
      <c r="I57" s="72">
        <v>-42998.065029999998</v>
      </c>
      <c r="J57" s="72"/>
      <c r="K57" s="72">
        <f>G57-I57</f>
        <v>22779.481619999999</v>
      </c>
      <c r="L57" s="72"/>
      <c r="M57" s="74">
        <f>K57/I57</f>
        <v>-0.52977922620719387</v>
      </c>
      <c r="O57" s="72">
        <v>2060.0307900000003</v>
      </c>
      <c r="P57" s="73"/>
      <c r="Q57" s="72">
        <v>1379.4180100000001</v>
      </c>
      <c r="S57" s="72">
        <f>O57-Q57</f>
        <v>680.61278000000016</v>
      </c>
      <c r="U57" s="74">
        <f>S57/Q57</f>
        <v>0.49340575160389571</v>
      </c>
      <c r="X57" s="85"/>
    </row>
    <row r="58" spans="2:24" ht="18" customHeight="1">
      <c r="B58" s="1" t="str">
        <f t="shared" si="1"/>
        <v>(+)Receita de Subvenção -Redução IRPJ SUDENE45657</v>
      </c>
      <c r="C58" s="1" t="str">
        <f t="shared" si="0"/>
        <v>(+)Receita de Subvenção -Redução IRPJ SUDENE45291</v>
      </c>
      <c r="D58" s="83" t="s">
        <v>85</v>
      </c>
      <c r="E58" s="24"/>
      <c r="G58" s="36">
        <v>12290.352570000001</v>
      </c>
      <c r="H58" s="9"/>
      <c r="I58" s="36">
        <v>29131.017449999999</v>
      </c>
      <c r="J58" s="9"/>
      <c r="K58" s="86">
        <f>G58-I58</f>
        <v>-16840.664879999997</v>
      </c>
      <c r="L58" s="9"/>
      <c r="M58" s="84">
        <f>K58/I58</f>
        <v>-0.57810081329651586</v>
      </c>
      <c r="O58" s="36">
        <v>-1749.1156100000001</v>
      </c>
      <c r="P58" s="9"/>
      <c r="Q58" s="36">
        <v>-1093.93724</v>
      </c>
      <c r="S58" s="86">
        <f>O58-Q58</f>
        <v>-655.17837000000009</v>
      </c>
      <c r="U58" s="84">
        <f>S58/Q58</f>
        <v>0.59891769476647505</v>
      </c>
      <c r="X58" s="85"/>
    </row>
    <row r="59" spans="2:24" ht="15" customHeight="1">
      <c r="B59" s="1" t="str">
        <f t="shared" si="1"/>
        <v>45657</v>
      </c>
      <c r="C59" s="1" t="str">
        <f t="shared" si="0"/>
        <v>45291</v>
      </c>
      <c r="D59" s="71"/>
      <c r="E59" s="24"/>
      <c r="G59" s="73"/>
      <c r="H59" s="73"/>
      <c r="I59" s="73"/>
      <c r="J59" s="73"/>
      <c r="K59" s="73"/>
      <c r="L59" s="73"/>
      <c r="O59" s="73"/>
      <c r="P59" s="73"/>
      <c r="Q59" s="73"/>
      <c r="X59" s="85"/>
    </row>
    <row r="60" spans="2:24" ht="15" customHeight="1" thickBot="1">
      <c r="B60" s="1" t="str">
        <f t="shared" si="1"/>
        <v>Lucro líquido do exercício45657</v>
      </c>
      <c r="C60" s="1" t="str">
        <f t="shared" si="0"/>
        <v>Lucro líquido do exercício45291</v>
      </c>
      <c r="D60" s="3" t="s">
        <v>86</v>
      </c>
      <c r="E60" s="24"/>
      <c r="F60" s="3"/>
      <c r="G60" s="87">
        <f>+G53+G55</f>
        <v>85242.915689999951</v>
      </c>
      <c r="H60" s="67"/>
      <c r="I60" s="87">
        <f>+I53+I55</f>
        <v>126169.83495000008</v>
      </c>
      <c r="J60" s="67"/>
      <c r="K60" s="87">
        <f>G60-I60</f>
        <v>-40926.919260000126</v>
      </c>
      <c r="L60" s="67"/>
      <c r="M60" s="88">
        <f>K60/I60</f>
        <v>-0.32437958943371115</v>
      </c>
      <c r="O60" s="87">
        <f>+O53+O55</f>
        <v>16773.818859999981</v>
      </c>
      <c r="P60" s="67"/>
      <c r="Q60" s="87">
        <f>+Q53+Q55</f>
        <v>-3902.4762299999979</v>
      </c>
      <c r="S60" s="87">
        <f>O60-Q60</f>
        <v>20676.295089999978</v>
      </c>
      <c r="U60" s="88">
        <f>S60/Q60</f>
        <v>-5.2982501036271499</v>
      </c>
      <c r="X60" s="85"/>
    </row>
    <row r="61" spans="2:24" ht="15" customHeight="1" thickTop="1">
      <c r="D61" s="3"/>
      <c r="E61" s="24"/>
      <c r="F61" s="3"/>
      <c r="G61" s="67"/>
      <c r="H61" s="67"/>
      <c r="I61" s="67"/>
      <c r="J61" s="67"/>
      <c r="K61" s="67"/>
      <c r="L61" s="67"/>
      <c r="M61" s="89"/>
      <c r="O61" s="67"/>
      <c r="P61" s="67"/>
      <c r="Q61" s="67"/>
      <c r="S61" s="67"/>
      <c r="U61" s="89"/>
      <c r="X61" s="85"/>
    </row>
    <row r="62" spans="2:24" ht="15" customHeight="1">
      <c r="B62" s="1" t="str">
        <f t="shared" si="1"/>
        <v>As notas explicativas da Administração são parte integrante das demonstrações contábeis.45657</v>
      </c>
      <c r="C62" s="1" t="str">
        <f t="shared" si="0"/>
        <v>As notas explicativas da Administração são parte integrante das demonstrações contábeis.45291</v>
      </c>
      <c r="D62" s="3" t="s">
        <v>43</v>
      </c>
      <c r="E62" s="24"/>
      <c r="F62" s="3"/>
      <c r="G62" s="67"/>
      <c r="H62" s="67"/>
      <c r="I62" s="67"/>
      <c r="J62" s="67"/>
      <c r="K62" s="67"/>
      <c r="L62" s="67"/>
      <c r="O62" s="67"/>
      <c r="P62" s="67"/>
      <c r="Q62" s="67"/>
    </row>
    <row r="63" spans="2:24" s="3" customFormat="1" ht="15" hidden="1" customHeight="1">
      <c r="D63" s="54" t="s">
        <v>43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</row>
    <row r="64" spans="2:24" ht="15" customHeight="1">
      <c r="D64" s="145"/>
      <c r="E64" s="145"/>
      <c r="F64" s="145"/>
      <c r="G64" s="156"/>
      <c r="H64" s="156"/>
      <c r="I64" s="157"/>
      <c r="J64" s="156"/>
      <c r="K64" s="156"/>
      <c r="L64" s="156"/>
      <c r="M64" s="145"/>
      <c r="N64" s="145"/>
      <c r="O64" s="156"/>
      <c r="P64" s="156"/>
      <c r="Q64" s="156"/>
      <c r="R64" s="145"/>
      <c r="S64" s="145"/>
      <c r="T64" s="145"/>
      <c r="U64" s="145"/>
      <c r="V64" s="145"/>
    </row>
    <row r="65" spans="4:22" ht="15" customHeight="1">
      <c r="D65" s="145"/>
      <c r="E65" s="145"/>
      <c r="F65" s="145"/>
      <c r="G65" s="156"/>
      <c r="H65" s="156"/>
      <c r="I65" s="156"/>
      <c r="J65" s="156"/>
      <c r="K65" s="156"/>
      <c r="L65" s="156"/>
      <c r="M65" s="145"/>
      <c r="N65" s="145"/>
      <c r="O65" s="156"/>
      <c r="P65" s="156"/>
      <c r="Q65" s="156"/>
      <c r="R65" s="145"/>
      <c r="S65" s="145"/>
      <c r="T65" s="145"/>
      <c r="U65" s="145"/>
      <c r="V65" s="145"/>
    </row>
    <row r="66" spans="4:22" ht="15" customHeight="1">
      <c r="D66" s="158"/>
      <c r="E66" s="158"/>
      <c r="F66" s="158"/>
      <c r="G66" s="159"/>
      <c r="H66" s="159"/>
      <c r="I66" s="159"/>
      <c r="J66" s="141"/>
      <c r="K66" s="141"/>
      <c r="L66" s="141"/>
      <c r="M66" s="145"/>
      <c r="N66" s="145"/>
      <c r="O66" s="145"/>
      <c r="P66" s="145"/>
      <c r="Q66" s="145"/>
      <c r="R66" s="145"/>
      <c r="S66" s="145"/>
      <c r="T66" s="145"/>
      <c r="U66" s="145"/>
      <c r="V66" s="145"/>
    </row>
    <row r="67" spans="4:22" ht="15" customHeight="1">
      <c r="D67" s="145"/>
      <c r="E67" s="145"/>
      <c r="F67" s="145"/>
      <c r="G67" s="160"/>
      <c r="H67" s="160"/>
      <c r="I67" s="160"/>
      <c r="J67" s="160"/>
      <c r="K67" s="160"/>
      <c r="L67" s="160"/>
      <c r="M67" s="145"/>
      <c r="N67" s="145"/>
      <c r="O67" s="145"/>
      <c r="P67" s="145"/>
      <c r="Q67" s="145"/>
      <c r="R67" s="145"/>
      <c r="S67" s="145"/>
      <c r="T67" s="145"/>
      <c r="U67" s="145"/>
      <c r="V67" s="145"/>
    </row>
    <row r="68" spans="4:22" ht="15" customHeight="1">
      <c r="D68" s="145"/>
      <c r="E68" s="145"/>
      <c r="F68" s="145"/>
      <c r="G68" s="161"/>
      <c r="H68" s="90"/>
      <c r="I68" s="161"/>
      <c r="J68" s="90"/>
      <c r="K68" s="90"/>
      <c r="L68" s="90"/>
      <c r="M68" s="145"/>
      <c r="N68" s="145"/>
      <c r="O68" s="90"/>
      <c r="P68" s="145"/>
      <c r="Q68" s="90"/>
      <c r="R68" s="145"/>
      <c r="S68" s="145"/>
      <c r="T68" s="145"/>
      <c r="U68" s="145"/>
      <c r="V68" s="145"/>
    </row>
    <row r="69" spans="4:22" ht="15" customHeight="1">
      <c r="D69" s="145"/>
      <c r="E69" s="145"/>
      <c r="F69" s="145"/>
      <c r="G69" s="91"/>
      <c r="H69" s="91"/>
      <c r="I69" s="91"/>
      <c r="J69" s="91"/>
      <c r="K69" s="91"/>
      <c r="L69" s="91"/>
      <c r="M69" s="145"/>
      <c r="N69" s="145"/>
      <c r="O69" s="145"/>
      <c r="P69" s="145"/>
      <c r="Q69" s="145"/>
      <c r="R69" s="145"/>
      <c r="S69" s="145"/>
      <c r="T69" s="145"/>
      <c r="U69" s="145"/>
      <c r="V69" s="145"/>
    </row>
    <row r="70" spans="4:22" ht="15" customHeight="1">
      <c r="D70" s="145"/>
      <c r="E70" s="145"/>
      <c r="F70" s="145"/>
      <c r="G70" s="91"/>
      <c r="H70" s="91"/>
      <c r="I70" s="91"/>
      <c r="J70" s="91"/>
      <c r="K70" s="91"/>
      <c r="L70" s="91"/>
      <c r="M70" s="145"/>
      <c r="N70" s="145"/>
      <c r="O70" s="145"/>
      <c r="P70" s="145"/>
      <c r="Q70" s="145"/>
      <c r="R70" s="145"/>
      <c r="S70" s="145"/>
      <c r="T70" s="145"/>
      <c r="U70" s="145"/>
      <c r="V70" s="145"/>
    </row>
    <row r="71" spans="4:22" ht="15" customHeight="1">
      <c r="D71" s="162"/>
      <c r="E71" s="145"/>
      <c r="F71" s="145"/>
      <c r="G71" s="91"/>
      <c r="H71" s="91"/>
      <c r="I71" s="91"/>
      <c r="J71" s="91"/>
      <c r="K71" s="91"/>
      <c r="L71" s="91"/>
      <c r="M71" s="145"/>
      <c r="N71" s="145"/>
      <c r="O71" s="145"/>
      <c r="P71" s="145"/>
      <c r="Q71" s="145"/>
      <c r="R71" s="145"/>
      <c r="S71" s="145"/>
      <c r="T71" s="145"/>
      <c r="U71" s="145"/>
      <c r="V71" s="145"/>
    </row>
    <row r="72" spans="4:22" ht="15" customHeight="1">
      <c r="D72" s="162"/>
      <c r="E72" s="145"/>
      <c r="F72" s="145"/>
      <c r="G72" s="91"/>
      <c r="H72" s="91"/>
      <c r="I72" s="91"/>
      <c r="J72" s="91"/>
      <c r="K72" s="91"/>
      <c r="L72" s="91"/>
      <c r="M72" s="145"/>
      <c r="N72" s="145"/>
      <c r="O72" s="145"/>
      <c r="P72" s="145"/>
      <c r="Q72" s="145"/>
      <c r="R72" s="145"/>
      <c r="S72" s="145"/>
      <c r="T72" s="145"/>
      <c r="U72" s="145"/>
      <c r="V72" s="145"/>
    </row>
    <row r="73" spans="4:22" ht="15" customHeight="1">
      <c r="D73" s="162"/>
      <c r="E73" s="145"/>
      <c r="F73" s="145"/>
      <c r="G73" s="91"/>
      <c r="H73" s="91"/>
      <c r="I73" s="91"/>
      <c r="J73" s="91"/>
      <c r="K73" s="91"/>
      <c r="L73" s="91"/>
      <c r="M73" s="145"/>
      <c r="N73" s="145"/>
      <c r="O73" s="145"/>
      <c r="P73" s="145"/>
      <c r="Q73" s="145"/>
      <c r="R73" s="145"/>
      <c r="S73" s="145"/>
      <c r="T73" s="145"/>
      <c r="U73" s="145"/>
      <c r="V73" s="145"/>
    </row>
    <row r="74" spans="4:22" ht="15" customHeight="1">
      <c r="D74" s="162"/>
      <c r="E74" s="145"/>
      <c r="F74" s="145"/>
      <c r="G74" s="91"/>
      <c r="H74" s="91"/>
      <c r="I74" s="91"/>
      <c r="J74" s="91"/>
      <c r="K74" s="91"/>
      <c r="L74" s="91"/>
      <c r="M74" s="145"/>
      <c r="N74" s="145"/>
      <c r="O74" s="145"/>
      <c r="P74" s="145"/>
      <c r="Q74" s="145"/>
      <c r="R74" s="145"/>
      <c r="S74" s="145"/>
      <c r="T74" s="145"/>
      <c r="U74" s="145"/>
      <c r="V74" s="145"/>
    </row>
    <row r="75" spans="4:22" ht="15" customHeight="1">
      <c r="D75" s="163"/>
      <c r="E75" s="145"/>
      <c r="F75" s="145"/>
      <c r="G75" s="139"/>
      <c r="H75" s="139"/>
      <c r="I75" s="139"/>
      <c r="J75" s="139"/>
      <c r="K75" s="139"/>
      <c r="L75" s="139"/>
      <c r="M75" s="145"/>
      <c r="N75" s="145"/>
      <c r="O75" s="145"/>
      <c r="P75" s="145"/>
      <c r="Q75" s="145"/>
      <c r="R75" s="145"/>
      <c r="S75" s="145"/>
      <c r="T75" s="145"/>
      <c r="U75" s="145"/>
      <c r="V75" s="145"/>
    </row>
    <row r="76" spans="4:22" ht="15" customHeight="1">
      <c r="D76" s="163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</row>
    <row r="77" spans="4:22" ht="15" customHeight="1">
      <c r="D77" s="163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</row>
    <row r="78" spans="4:22" ht="15" customHeight="1">
      <c r="D78" s="145"/>
      <c r="E78" s="145"/>
      <c r="F78" s="145"/>
      <c r="G78" s="159"/>
      <c r="H78" s="159"/>
      <c r="I78" s="159"/>
      <c r="J78" s="141"/>
      <c r="K78" s="141"/>
      <c r="L78" s="141"/>
      <c r="M78" s="145"/>
      <c r="N78" s="145"/>
      <c r="O78" s="145"/>
      <c r="P78" s="145"/>
      <c r="Q78" s="145"/>
      <c r="R78" s="145"/>
      <c r="S78" s="145"/>
      <c r="T78" s="145"/>
      <c r="U78" s="145"/>
      <c r="V78" s="145"/>
    </row>
    <row r="79" spans="4:22" ht="15" customHeight="1">
      <c r="D79" s="140"/>
      <c r="E79" s="145"/>
      <c r="F79" s="145"/>
      <c r="G79" s="160"/>
      <c r="H79" s="160"/>
      <c r="I79" s="160"/>
      <c r="J79" s="160"/>
      <c r="K79" s="160"/>
      <c r="L79" s="160"/>
      <c r="M79" s="145"/>
      <c r="N79" s="145"/>
      <c r="O79" s="145"/>
      <c r="P79" s="145"/>
      <c r="Q79" s="145"/>
      <c r="R79" s="145"/>
      <c r="S79" s="145"/>
      <c r="T79" s="145"/>
      <c r="U79" s="145"/>
      <c r="V79" s="145"/>
    </row>
    <row r="80" spans="4:22" ht="15" customHeight="1">
      <c r="D80" s="140"/>
      <c r="E80" s="145"/>
      <c r="F80" s="145"/>
      <c r="G80" s="164"/>
      <c r="H80" s="160"/>
      <c r="I80" s="164"/>
      <c r="J80" s="164"/>
      <c r="K80" s="164"/>
      <c r="L80" s="164"/>
      <c r="M80" s="145"/>
      <c r="N80" s="145"/>
      <c r="O80" s="145"/>
      <c r="P80" s="145"/>
      <c r="Q80" s="145"/>
      <c r="R80" s="145"/>
      <c r="S80" s="145"/>
      <c r="T80" s="145"/>
      <c r="U80" s="145"/>
      <c r="V80" s="145"/>
    </row>
    <row r="81" spans="2:22" ht="15" customHeight="1">
      <c r="B81" s="1" t="str">
        <f>$D81&amp;$B$11</f>
        <v>45657</v>
      </c>
      <c r="C81" s="1" t="str">
        <f>$D81&amp;$C$11</f>
        <v>45291</v>
      </c>
      <c r="D81" s="165"/>
      <c r="E81" s="145"/>
      <c r="F81" s="145"/>
      <c r="G81" s="73"/>
      <c r="H81" s="73"/>
      <c r="I81" s="73"/>
      <c r="J81" s="73"/>
      <c r="K81" s="73"/>
      <c r="L81" s="73"/>
      <c r="M81" s="145"/>
      <c r="N81" s="145"/>
      <c r="O81" s="145"/>
      <c r="P81" s="145"/>
      <c r="Q81" s="145"/>
      <c r="R81" s="145"/>
      <c r="S81" s="145"/>
      <c r="T81" s="145"/>
      <c r="U81" s="145"/>
      <c r="V81" s="145"/>
    </row>
    <row r="82" spans="2:22" ht="15" customHeight="1">
      <c r="B82" s="1" t="str">
        <f>$D82&amp;$B$11</f>
        <v>45657</v>
      </c>
      <c r="C82" s="1" t="str">
        <f>$D82&amp;$C$11</f>
        <v>45291</v>
      </c>
      <c r="D82" s="166"/>
      <c r="E82" s="145"/>
      <c r="F82" s="145"/>
      <c r="G82" s="73"/>
      <c r="H82" s="73"/>
      <c r="I82" s="73"/>
      <c r="J82" s="73"/>
      <c r="K82" s="73"/>
      <c r="L82" s="73"/>
      <c r="M82" s="145"/>
      <c r="N82" s="145"/>
      <c r="O82" s="145"/>
      <c r="P82" s="145"/>
      <c r="Q82" s="145"/>
      <c r="R82" s="145"/>
      <c r="S82" s="145"/>
      <c r="T82" s="145"/>
      <c r="U82" s="145"/>
      <c r="V82" s="145"/>
    </row>
    <row r="83" spans="2:22" ht="15" customHeight="1">
      <c r="B83" s="1" t="str">
        <f>$D83&amp;$B$11</f>
        <v>45657</v>
      </c>
      <c r="C83" s="1" t="str">
        <f>$D83&amp;$C$11</f>
        <v>45291</v>
      </c>
      <c r="D83" s="140"/>
      <c r="E83" s="140"/>
      <c r="F83" s="140"/>
      <c r="G83" s="67"/>
      <c r="H83" s="67"/>
      <c r="I83" s="67"/>
      <c r="J83" s="67"/>
      <c r="K83" s="67"/>
      <c r="L83" s="67"/>
      <c r="M83" s="145"/>
      <c r="N83" s="145"/>
      <c r="O83" s="145"/>
      <c r="P83" s="145"/>
      <c r="Q83" s="145"/>
      <c r="R83" s="145"/>
      <c r="S83" s="145"/>
      <c r="T83" s="145"/>
      <c r="U83" s="145"/>
      <c r="V83" s="145"/>
    </row>
    <row r="84" spans="2:22" ht="15" customHeight="1"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</row>
    <row r="85" spans="2:22" ht="15" customHeight="1">
      <c r="D85" s="140"/>
      <c r="E85" s="145"/>
      <c r="F85" s="145"/>
      <c r="G85" s="167"/>
      <c r="H85" s="92"/>
      <c r="I85" s="167"/>
      <c r="J85" s="167"/>
      <c r="K85" s="167"/>
      <c r="L85" s="167"/>
      <c r="M85" s="145"/>
      <c r="N85" s="145"/>
      <c r="O85" s="167"/>
      <c r="P85" s="145"/>
      <c r="Q85" s="167"/>
      <c r="R85" s="145"/>
      <c r="S85" s="145"/>
      <c r="T85" s="145"/>
      <c r="U85" s="145"/>
      <c r="V85" s="145"/>
    </row>
    <row r="86" spans="2:22" ht="15" customHeight="1">
      <c r="B86" s="1" t="str">
        <f>$D86&amp;$B$11</f>
        <v>45657</v>
      </c>
      <c r="C86" s="1" t="str">
        <f>$D86&amp;$C$11</f>
        <v>45291</v>
      </c>
      <c r="D86" s="139"/>
      <c r="E86" s="139"/>
      <c r="F86" s="139"/>
      <c r="G86" s="168"/>
      <c r="H86" s="73"/>
      <c r="I86" s="168"/>
      <c r="J86" s="168"/>
      <c r="K86" s="168"/>
      <c r="L86" s="168"/>
      <c r="M86" s="139"/>
      <c r="N86" s="139"/>
      <c r="O86" s="73"/>
      <c r="P86" s="73"/>
      <c r="Q86" s="73"/>
      <c r="R86" s="145"/>
      <c r="S86" s="145"/>
      <c r="T86" s="145"/>
      <c r="U86" s="145"/>
      <c r="V86" s="145"/>
    </row>
    <row r="87" spans="2:22" ht="15" customHeight="1">
      <c r="D87" s="139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</row>
    <row r="88" spans="2:22" ht="15" customHeight="1">
      <c r="D88" s="145"/>
      <c r="E88" s="145"/>
      <c r="F88" s="145"/>
      <c r="G88" s="92"/>
      <c r="H88" s="92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</row>
    <row r="89" spans="2:22" ht="15" customHeight="1"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</row>
    <row r="90" spans="2:22" ht="15" customHeight="1"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</row>
    <row r="98" spans="4:4" ht="15" customHeight="1">
      <c r="D98" s="38"/>
    </row>
    <row r="100" spans="4:4" ht="15" customHeight="1">
      <c r="D100" s="13"/>
    </row>
  </sheetData>
  <mergeCells count="7">
    <mergeCell ref="D66:F66"/>
    <mergeCell ref="G66:I66"/>
    <mergeCell ref="G78:I78"/>
    <mergeCell ref="G8:I8"/>
    <mergeCell ref="K8:M8"/>
    <mergeCell ref="O8:Q8"/>
    <mergeCell ref="S8:U8"/>
  </mergeCells>
  <printOptions horizontalCentered="1"/>
  <pageMargins left="0.70866141732283472" right="0.70866141732283472" top="1.3385826771653544" bottom="0.74803149606299213" header="0.31496062992125984" footer="0.31496062992125984"/>
  <pageSetup paperSize="9" scale="80" orientation="portrait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4E01-B1FA-4F28-8F40-C43EE6A1ED96}">
  <sheetPr>
    <tabColor rgb="FFFFFF00"/>
  </sheetPr>
  <dimension ref="B1:W50"/>
  <sheetViews>
    <sheetView showGridLines="0" tabSelected="1" view="pageBreakPreview" zoomScale="80" zoomScaleNormal="90" zoomScaleSheetLayoutView="80" workbookViewId="0">
      <selection activeCell="C45" sqref="C45"/>
    </sheetView>
  </sheetViews>
  <sheetFormatPr defaultColWidth="9.140625" defaultRowHeight="15" customHeight="1" outlineLevelRow="1" outlineLevelCol="1"/>
  <cols>
    <col min="1" max="1" width="3.140625" style="1" customWidth="1"/>
    <col min="2" max="2" width="26.140625" style="1" hidden="1" customWidth="1" outlineLevel="1"/>
    <col min="3" max="3" width="41.42578125" style="1" customWidth="1" collapsed="1"/>
    <col min="4" max="4" width="4" style="1" customWidth="1"/>
    <col min="5" max="5" width="16.28515625" style="1" customWidth="1"/>
    <col min="6" max="6" width="2.42578125" style="1" customWidth="1"/>
    <col min="7" max="7" width="15.140625" style="1" customWidth="1"/>
    <col min="8" max="8" width="1.28515625" style="1" customWidth="1"/>
    <col min="9" max="9" width="17.140625" style="1" customWidth="1"/>
    <col min="10" max="10" width="1.28515625" style="1" customWidth="1"/>
    <col min="11" max="11" width="16.85546875" style="1" customWidth="1"/>
    <col min="12" max="12" width="1.28515625" style="1" customWidth="1"/>
    <col min="13" max="13" width="14.7109375" style="1" customWidth="1"/>
    <col min="14" max="14" width="1.140625" style="1" customWidth="1"/>
    <col min="15" max="15" width="14.5703125" style="3" customWidth="1"/>
    <col min="16" max="16" width="12.140625" style="1" bestFit="1" customWidth="1"/>
    <col min="17" max="17" width="0" style="1" hidden="1" customWidth="1"/>
    <col min="18" max="18" width="13.5703125" style="1" hidden="1" customWidth="1"/>
    <col min="19" max="19" width="0" style="1" hidden="1" customWidth="1"/>
    <col min="20" max="20" width="15.140625" style="1" bestFit="1" customWidth="1"/>
    <col min="21" max="21" width="15.7109375" style="1" customWidth="1"/>
    <col min="22" max="22" width="17.7109375" style="1" customWidth="1"/>
    <col min="23" max="23" width="19.140625" style="1" customWidth="1"/>
    <col min="24" max="24" width="15.85546875" style="1" customWidth="1"/>
    <col min="25" max="25" width="41.28515625" style="1" bestFit="1" customWidth="1"/>
    <col min="26" max="26" width="8.42578125" style="1" bestFit="1" customWidth="1"/>
    <col min="27" max="16384" width="9.140625" style="1"/>
  </cols>
  <sheetData>
    <row r="1" spans="3:22" ht="15" customHeight="1">
      <c r="C1" s="2" t="s">
        <v>104</v>
      </c>
      <c r="D1" s="55"/>
    </row>
    <row r="2" spans="3:22" ht="15" customHeight="1">
      <c r="C2" s="2"/>
      <c r="D2" s="55"/>
    </row>
    <row r="3" spans="3:22" ht="15" customHeight="1">
      <c r="C3" s="2" t="s">
        <v>87</v>
      </c>
      <c r="D3" s="55"/>
    </row>
    <row r="4" spans="3:22" ht="15" hidden="1" customHeight="1">
      <c r="C4" s="2" t="s">
        <v>106</v>
      </c>
      <c r="D4" s="24"/>
      <c r="G4" s="3"/>
      <c r="H4" s="3"/>
      <c r="I4" s="3"/>
      <c r="J4" s="3"/>
      <c r="K4" s="3"/>
      <c r="L4" s="3"/>
      <c r="M4" s="3"/>
      <c r="N4" s="3"/>
      <c r="P4" s="3"/>
      <c r="Q4" s="93"/>
    </row>
    <row r="5" spans="3:22" ht="15" customHeight="1">
      <c r="C5" s="2" t="s">
        <v>45</v>
      </c>
      <c r="D5" s="24"/>
      <c r="G5" s="3"/>
      <c r="H5" s="3"/>
      <c r="I5" s="3"/>
      <c r="J5" s="3"/>
      <c r="K5" s="3"/>
      <c r="L5" s="3"/>
      <c r="M5" s="3"/>
      <c r="N5" s="3"/>
      <c r="P5" s="3"/>
      <c r="Q5" s="93"/>
    </row>
    <row r="6" spans="3:22" ht="15" customHeight="1">
      <c r="C6" s="16" t="s">
        <v>107</v>
      </c>
      <c r="D6" s="55"/>
      <c r="P6" s="3"/>
      <c r="Q6" s="93"/>
    </row>
    <row r="7" spans="3:22" ht="15" customHeight="1">
      <c r="C7" s="16"/>
      <c r="D7" s="55"/>
      <c r="P7" s="3"/>
      <c r="Q7" s="93"/>
    </row>
    <row r="8" spans="3:22" ht="15" customHeight="1">
      <c r="G8" s="136" t="s">
        <v>38</v>
      </c>
      <c r="H8" s="136"/>
      <c r="I8" s="136"/>
      <c r="J8" s="136"/>
      <c r="K8" s="136"/>
      <c r="L8" s="24"/>
    </row>
    <row r="9" spans="3:22" s="94" customFormat="1" ht="25.5">
      <c r="E9" s="95" t="s">
        <v>37</v>
      </c>
      <c r="F9" s="96"/>
      <c r="G9" s="95" t="s">
        <v>88</v>
      </c>
      <c r="H9" s="96"/>
      <c r="I9" s="95" t="s">
        <v>89</v>
      </c>
      <c r="J9" s="96"/>
      <c r="K9" s="97" t="s">
        <v>90</v>
      </c>
      <c r="L9" s="96"/>
      <c r="M9" s="95" t="s">
        <v>91</v>
      </c>
      <c r="N9" s="96"/>
      <c r="O9" s="95" t="s">
        <v>92</v>
      </c>
    </row>
    <row r="10" spans="3:22" ht="15" hidden="1" customHeight="1" outlineLevel="1" thickBot="1">
      <c r="C10" s="3" t="s">
        <v>93</v>
      </c>
      <c r="D10" s="3"/>
      <c r="E10" s="98">
        <f>370668207.88/1000</f>
        <v>370668.20788</v>
      </c>
      <c r="F10" s="99"/>
      <c r="G10" s="98">
        <f>21981577.94/1000</f>
        <v>21981.577940000003</v>
      </c>
      <c r="H10" s="99"/>
      <c r="I10" s="98">
        <v>11676.22351</v>
      </c>
      <c r="J10" s="100"/>
      <c r="K10" s="98">
        <v>129905.83747999999</v>
      </c>
      <c r="L10" s="99"/>
      <c r="M10" s="98">
        <v>-5.8207660913467407E-11</v>
      </c>
      <c r="N10" s="99"/>
      <c r="O10" s="98">
        <v>534231.8468099999</v>
      </c>
      <c r="R10" s="101"/>
      <c r="T10" s="101"/>
      <c r="U10" s="5"/>
    </row>
    <row r="11" spans="3:22" ht="15" hidden="1" customHeight="1" outlineLevel="1" thickTop="1">
      <c r="C11" s="70"/>
      <c r="D11" s="3"/>
      <c r="E11" s="100"/>
      <c r="F11" s="99"/>
      <c r="G11" s="100"/>
      <c r="H11" s="99"/>
      <c r="I11" s="100"/>
      <c r="J11" s="100"/>
      <c r="K11" s="100"/>
      <c r="L11" s="99"/>
      <c r="M11" s="102"/>
      <c r="N11" s="99"/>
      <c r="O11" s="100"/>
      <c r="R11" s="101"/>
      <c r="T11" s="101"/>
      <c r="U11" s="5"/>
    </row>
    <row r="12" spans="3:22" ht="15" hidden="1" customHeight="1" outlineLevel="1">
      <c r="C12" s="71" t="s">
        <v>94</v>
      </c>
      <c r="E12" s="90">
        <v>0</v>
      </c>
      <c r="F12" s="90"/>
      <c r="G12" s="90">
        <v>0</v>
      </c>
      <c r="H12" s="90"/>
      <c r="I12" s="90">
        <v>0</v>
      </c>
      <c r="J12" s="90"/>
      <c r="K12" s="90">
        <v>0</v>
      </c>
      <c r="L12" s="90"/>
      <c r="M12" s="90">
        <v>0</v>
      </c>
      <c r="N12" s="103"/>
      <c r="O12" s="104">
        <f>+SUM(E12:M12)</f>
        <v>0</v>
      </c>
      <c r="U12" s="105"/>
    </row>
    <row r="13" spans="3:22" ht="15" hidden="1" customHeight="1" outlineLevel="1">
      <c r="C13" s="71" t="s">
        <v>95</v>
      </c>
      <c r="E13" s="90">
        <v>0</v>
      </c>
      <c r="F13" s="90"/>
      <c r="G13" s="90">
        <v>0</v>
      </c>
      <c r="H13" s="90"/>
      <c r="I13" s="90">
        <v>0</v>
      </c>
      <c r="J13" s="90"/>
      <c r="K13" s="90">
        <v>0</v>
      </c>
      <c r="L13" s="90"/>
      <c r="M13" s="90">
        <v>0</v>
      </c>
      <c r="N13" s="103"/>
      <c r="O13" s="104">
        <f t="shared" ref="O13:O19" si="0">+SUM(E13:M13)</f>
        <v>0</v>
      </c>
      <c r="T13" s="5"/>
      <c r="U13" s="5"/>
      <c r="V13" s="5"/>
    </row>
    <row r="14" spans="3:22" ht="15" hidden="1" customHeight="1" outlineLevel="1">
      <c r="C14" s="71" t="s">
        <v>96</v>
      </c>
      <c r="E14" s="90">
        <v>0</v>
      </c>
      <c r="F14" s="90"/>
      <c r="G14" s="90">
        <v>0</v>
      </c>
      <c r="H14" s="90"/>
      <c r="I14" s="90">
        <v>0</v>
      </c>
      <c r="J14" s="90"/>
      <c r="K14" s="90">
        <v>0</v>
      </c>
      <c r="L14" s="90"/>
      <c r="M14" s="90">
        <v>0</v>
      </c>
      <c r="N14" s="103"/>
      <c r="O14" s="104">
        <f t="shared" si="0"/>
        <v>0</v>
      </c>
      <c r="T14" s="105"/>
      <c r="U14" s="105"/>
      <c r="V14" s="5"/>
    </row>
    <row r="15" spans="3:22" ht="15" hidden="1" customHeight="1" outlineLevel="1">
      <c r="C15" s="71" t="s">
        <v>97</v>
      </c>
      <c r="E15" s="90">
        <v>0</v>
      </c>
      <c r="F15" s="90"/>
      <c r="G15" s="90">
        <v>0</v>
      </c>
      <c r="H15" s="90"/>
      <c r="I15" s="90">
        <v>0</v>
      </c>
      <c r="J15" s="90"/>
      <c r="K15" s="90">
        <v>0</v>
      </c>
      <c r="L15" s="90"/>
      <c r="M15" s="90">
        <v>0</v>
      </c>
      <c r="N15" s="103"/>
      <c r="O15" s="104">
        <f t="shared" si="0"/>
        <v>0</v>
      </c>
      <c r="T15" s="105"/>
      <c r="U15" s="105"/>
      <c r="V15" s="5"/>
    </row>
    <row r="16" spans="3:22" ht="15" hidden="1" customHeight="1" outlineLevel="1">
      <c r="C16" s="71" t="s">
        <v>98</v>
      </c>
      <c r="E16" s="90">
        <v>0</v>
      </c>
      <c r="F16" s="90"/>
      <c r="G16" s="90">
        <v>0</v>
      </c>
      <c r="H16" s="90"/>
      <c r="I16" s="90">
        <v>0</v>
      </c>
      <c r="J16" s="90"/>
      <c r="K16" s="106">
        <v>0</v>
      </c>
      <c r="L16" s="90"/>
      <c r="M16" s="90">
        <v>109940.93557000003</v>
      </c>
      <c r="N16" s="103"/>
      <c r="O16" s="104">
        <f t="shared" si="0"/>
        <v>109940.93557000003</v>
      </c>
      <c r="T16" s="5"/>
      <c r="U16" s="105"/>
    </row>
    <row r="17" spans="2:23" ht="15" hidden="1" customHeight="1" outlineLevel="1">
      <c r="C17" s="71" t="s">
        <v>99</v>
      </c>
      <c r="E17" s="90">
        <v>0</v>
      </c>
      <c r="F17" s="90"/>
      <c r="G17" s="9">
        <f>5497046.78/1000</f>
        <v>5497.0467800000006</v>
      </c>
      <c r="H17" s="90"/>
      <c r="I17" s="90">
        <v>0</v>
      </c>
      <c r="J17" s="90"/>
      <c r="K17" s="106">
        <v>0</v>
      </c>
      <c r="L17" s="90"/>
      <c r="M17" s="90">
        <f>-5497046.78/1000</f>
        <v>-5497.0467800000006</v>
      </c>
      <c r="N17" s="103"/>
      <c r="O17" s="104">
        <f t="shared" si="0"/>
        <v>0</v>
      </c>
      <c r="T17" s="5"/>
      <c r="U17" s="105"/>
      <c r="V17" s="105"/>
    </row>
    <row r="18" spans="2:23" ht="15" hidden="1" customHeight="1" outlineLevel="1">
      <c r="C18" s="71" t="s">
        <v>100</v>
      </c>
      <c r="E18" s="90">
        <v>0</v>
      </c>
      <c r="F18" s="90"/>
      <c r="G18" s="90">
        <v>0</v>
      </c>
      <c r="H18" s="90"/>
      <c r="I18" s="90">
        <f>(1768.04+9873472.82)/1000</f>
        <v>9875.2408599999999</v>
      </c>
      <c r="J18" s="90"/>
      <c r="K18" s="106">
        <v>0</v>
      </c>
      <c r="L18" s="90"/>
      <c r="M18" s="90">
        <f>-(1768.04+9873472.82)/1000</f>
        <v>-9875.2408599999999</v>
      </c>
      <c r="N18" s="103"/>
      <c r="O18" s="104">
        <f t="shared" si="0"/>
        <v>0</v>
      </c>
      <c r="T18" s="5"/>
      <c r="U18" s="5"/>
      <c r="V18" s="9"/>
    </row>
    <row r="19" spans="2:23" ht="18" hidden="1" customHeight="1" outlineLevel="1">
      <c r="C19" s="71" t="s">
        <v>101</v>
      </c>
      <c r="E19" s="90">
        <v>0</v>
      </c>
      <c r="F19" s="90"/>
      <c r="G19" s="90">
        <v>0</v>
      </c>
      <c r="H19" s="90"/>
      <c r="I19" s="90">
        <v>0</v>
      </c>
      <c r="J19" s="90"/>
      <c r="K19" s="107">
        <f>(-1768.04+ 94570416.07)/1000</f>
        <v>94568.648029999982</v>
      </c>
      <c r="L19" s="90"/>
      <c r="M19" s="90">
        <f>(1768.04-94570416.07)/1000</f>
        <v>-94568.648029999982</v>
      </c>
      <c r="N19" s="103"/>
      <c r="O19" s="104">
        <f t="shared" si="0"/>
        <v>0</v>
      </c>
      <c r="T19" s="105"/>
      <c r="U19" s="9"/>
      <c r="W19" s="5"/>
    </row>
    <row r="20" spans="2:23" ht="15" customHeight="1" collapsed="1">
      <c r="C20" s="71"/>
      <c r="E20" s="90"/>
      <c r="F20" s="90"/>
      <c r="G20" s="90"/>
      <c r="H20" s="90"/>
      <c r="I20" s="90"/>
      <c r="J20" s="90"/>
      <c r="K20" s="107"/>
      <c r="L20" s="90"/>
      <c r="M20" s="90"/>
      <c r="N20" s="103"/>
      <c r="O20" s="104"/>
      <c r="T20" s="105"/>
      <c r="U20" s="9"/>
      <c r="W20" s="5"/>
    </row>
    <row r="21" spans="2:23" ht="15" customHeight="1" thickBot="1">
      <c r="C21" s="3" t="s">
        <v>102</v>
      </c>
      <c r="D21" s="3"/>
      <c r="E21" s="108">
        <v>370668.39179999998</v>
      </c>
      <c r="F21" s="109">
        <v>0</v>
      </c>
      <c r="G21" s="108">
        <v>32729.61189</v>
      </c>
      <c r="H21" s="109">
        <v>0</v>
      </c>
      <c r="I21" s="108">
        <v>31438.137709999999</v>
      </c>
      <c r="J21" s="109">
        <v>0</v>
      </c>
      <c r="K21" s="110">
        <v>314350.47979000001</v>
      </c>
      <c r="L21" s="109">
        <v>0</v>
      </c>
      <c r="M21" s="111">
        <v>0</v>
      </c>
      <c r="N21" s="112"/>
      <c r="O21" s="113">
        <f>749186</f>
        <v>749186</v>
      </c>
      <c r="P21" s="114"/>
      <c r="T21" s="9"/>
      <c r="U21" s="115"/>
      <c r="V21" s="5"/>
      <c r="W21" s="5"/>
    </row>
    <row r="22" spans="2:23" ht="12.75" customHeight="1" outlineLevel="1" thickTop="1">
      <c r="C22" s="70"/>
      <c r="D22" s="3"/>
      <c r="E22" s="116"/>
      <c r="F22" s="104"/>
      <c r="G22" s="116"/>
      <c r="H22" s="104"/>
      <c r="I22" s="117"/>
      <c r="J22" s="116"/>
      <c r="K22" s="116"/>
      <c r="L22" s="104"/>
      <c r="M22" s="118"/>
      <c r="N22" s="104"/>
      <c r="O22" s="100"/>
      <c r="P22" s="9"/>
      <c r="T22" s="9"/>
      <c r="U22" s="119"/>
      <c r="V22" s="5"/>
      <c r="W22" s="5"/>
    </row>
    <row r="23" spans="2:23" ht="15" customHeight="1" outlineLevel="1">
      <c r="C23" s="76" t="s">
        <v>86</v>
      </c>
      <c r="D23"/>
      <c r="E23" s="120">
        <v>0</v>
      </c>
      <c r="F23" s="121">
        <v>0</v>
      </c>
      <c r="G23" s="120">
        <v>0</v>
      </c>
      <c r="H23" s="121">
        <v>0</v>
      </c>
      <c r="I23" s="120">
        <v>0</v>
      </c>
      <c r="J23" s="121">
        <v>0</v>
      </c>
      <c r="K23" s="120">
        <v>0</v>
      </c>
      <c r="L23" s="121">
        <v>126169.83495000008</v>
      </c>
      <c r="M23" s="106">
        <v>126169.83495000008</v>
      </c>
      <c r="N23" s="121">
        <v>126169.83495000008</v>
      </c>
      <c r="O23" s="100">
        <f>SUM(M23+K23+I23+G23+E23)</f>
        <v>126169.83495000008</v>
      </c>
      <c r="P23" s="114"/>
      <c r="T23" s="9"/>
      <c r="U23" s="119"/>
      <c r="V23" s="5"/>
      <c r="W23" s="5"/>
    </row>
    <row r="24" spans="2:23" ht="15" customHeight="1" outlineLevel="1">
      <c r="C24" s="76" t="s">
        <v>99</v>
      </c>
      <c r="D24"/>
      <c r="E24" s="120">
        <v>0</v>
      </c>
      <c r="F24" s="121">
        <v>6308</v>
      </c>
      <c r="G24" s="120">
        <f>-M24</f>
        <v>6308</v>
      </c>
      <c r="H24" s="121">
        <v>0</v>
      </c>
      <c r="I24" s="120">
        <v>0</v>
      </c>
      <c r="J24" s="121">
        <v>0</v>
      </c>
      <c r="K24" s="120">
        <v>0</v>
      </c>
      <c r="L24" s="121">
        <v>-6308</v>
      </c>
      <c r="M24" s="106">
        <v>-6308</v>
      </c>
      <c r="N24" s="121">
        <v>0</v>
      </c>
      <c r="O24" s="100">
        <f>SUM(M24+K24+I24+G24+E24)</f>
        <v>0</v>
      </c>
      <c r="P24" s="114"/>
      <c r="T24" s="9"/>
      <c r="U24" s="119"/>
      <c r="V24" s="5"/>
      <c r="W24" s="5"/>
    </row>
    <row r="25" spans="2:23" ht="15" customHeight="1" outlineLevel="1">
      <c r="C25" s="71" t="s">
        <v>100</v>
      </c>
      <c r="E25" s="120">
        <v>0</v>
      </c>
      <c r="F25" s="121">
        <v>0</v>
      </c>
      <c r="G25" s="120">
        <v>0</v>
      </c>
      <c r="H25" s="121">
        <v>39018</v>
      </c>
      <c r="I25" s="120">
        <f>-M25</f>
        <v>39018</v>
      </c>
      <c r="J25" s="121">
        <v>0</v>
      </c>
      <c r="K25" s="120">
        <v>0</v>
      </c>
      <c r="L25" s="121">
        <v>-39018</v>
      </c>
      <c r="M25" s="106">
        <v>-39018</v>
      </c>
      <c r="N25" s="121">
        <v>0</v>
      </c>
      <c r="O25" s="100">
        <f>SUM(M25+K25+I25+G25+E25)</f>
        <v>0</v>
      </c>
      <c r="P25" s="114"/>
      <c r="T25" s="9"/>
      <c r="U25" s="119"/>
      <c r="V25" s="5"/>
      <c r="W25" s="5"/>
    </row>
    <row r="26" spans="2:23" ht="15" customHeight="1">
      <c r="B26" s="122" t="str">
        <f>C34&amp;B35</f>
        <v>45657</v>
      </c>
      <c r="C26" s="71" t="s">
        <v>101</v>
      </c>
      <c r="D26"/>
      <c r="E26" s="120">
        <v>0</v>
      </c>
      <c r="F26" s="121">
        <v>0</v>
      </c>
      <c r="G26" s="120">
        <v>0</v>
      </c>
      <c r="H26" s="121">
        <v>0</v>
      </c>
      <c r="I26" s="120">
        <v>0</v>
      </c>
      <c r="J26" s="121">
        <v>80843.834950000077</v>
      </c>
      <c r="K26" s="120">
        <f>-M26</f>
        <v>80843.834950000077</v>
      </c>
      <c r="L26" s="121">
        <v>-80843.834950000077</v>
      </c>
      <c r="M26" s="106">
        <v>-80843.834950000077</v>
      </c>
      <c r="N26" s="121">
        <v>0</v>
      </c>
      <c r="O26" s="100">
        <f>SUM(M26+K26+I26+G26+E26)</f>
        <v>0</v>
      </c>
      <c r="P26" s="114"/>
      <c r="T26" s="9"/>
      <c r="U26" s="119"/>
      <c r="V26" s="5"/>
      <c r="W26" s="5"/>
    </row>
    <row r="27" spans="2:23" ht="15" customHeight="1">
      <c r="B27" s="122"/>
      <c r="C27" s="27"/>
      <c r="E27" s="90"/>
      <c r="F27" s="90"/>
      <c r="G27" s="90"/>
      <c r="H27" s="90"/>
      <c r="I27" s="90"/>
      <c r="J27" s="121">
        <v>80843.834950000077</v>
      </c>
      <c r="K27" s="106"/>
      <c r="L27" s="90"/>
      <c r="M27" s="72"/>
      <c r="N27" s="112"/>
      <c r="O27" s="123"/>
      <c r="P27" s="9"/>
      <c r="T27" s="9"/>
      <c r="U27" s="119"/>
      <c r="V27" s="5"/>
      <c r="W27" s="5"/>
    </row>
    <row r="28" spans="2:23" ht="15" customHeight="1" thickBot="1">
      <c r="B28" s="122"/>
      <c r="C28" s="3" t="s">
        <v>103</v>
      </c>
      <c r="E28" s="124">
        <f>SUM(E21:E26)</f>
        <v>370668.39179999998</v>
      </c>
      <c r="F28" s="125"/>
      <c r="G28" s="124">
        <f>SUM(G21:G26)</f>
        <v>39037.61189</v>
      </c>
      <c r="H28" s="125"/>
      <c r="I28" s="124">
        <f>SUM(I21:I26)</f>
        <v>70456.137709999995</v>
      </c>
      <c r="J28" s="121">
        <v>80843.834950000077</v>
      </c>
      <c r="K28" s="124">
        <f>SUM(K21:K26)</f>
        <v>395194.31474000006</v>
      </c>
      <c r="L28" s="125"/>
      <c r="M28" s="124">
        <f>SUM(M21:M26)</f>
        <v>0</v>
      </c>
      <c r="N28" s="125"/>
      <c r="O28" s="124">
        <f>SUM(O21:O26)</f>
        <v>875355.83495000005</v>
      </c>
      <c r="P28" s="114"/>
    </row>
    <row r="29" spans="2:23" ht="15" customHeight="1" thickTop="1">
      <c r="B29" s="122"/>
      <c r="C29" s="3"/>
      <c r="E29" s="90"/>
      <c r="F29" s="90"/>
      <c r="G29" s="90"/>
      <c r="H29" s="90"/>
      <c r="I29" s="90"/>
      <c r="J29" s="121">
        <v>80843.834950000077</v>
      </c>
      <c r="K29" s="107"/>
      <c r="L29" s="90"/>
      <c r="M29" s="90"/>
      <c r="N29" s="112"/>
      <c r="O29" s="123"/>
    </row>
    <row r="30" spans="2:23" ht="15" customHeight="1">
      <c r="B30" s="122"/>
      <c r="C30" s="76" t="s">
        <v>86</v>
      </c>
      <c r="D30"/>
      <c r="E30" s="120">
        <v>0</v>
      </c>
      <c r="F30" s="121">
        <v>0</v>
      </c>
      <c r="G30" s="120">
        <v>0</v>
      </c>
      <c r="H30" s="121">
        <v>0</v>
      </c>
      <c r="I30" s="120">
        <v>0</v>
      </c>
      <c r="J30" s="121">
        <v>0</v>
      </c>
      <c r="K30" s="120">
        <v>0</v>
      </c>
      <c r="L30" s="121">
        <v>126169.83495000008</v>
      </c>
      <c r="M30" s="120">
        <f>'DRE '!G60</f>
        <v>85242.915689999951</v>
      </c>
      <c r="N30" s="121">
        <v>126169.83495000008</v>
      </c>
      <c r="O30" s="100">
        <f>SUM(M30+K30+I30+G30+E30)</f>
        <v>85242.915689999951</v>
      </c>
      <c r="P30" s="9"/>
    </row>
    <row r="31" spans="2:23" ht="15" customHeight="1">
      <c r="B31" s="122"/>
      <c r="C31" s="71" t="s">
        <v>99</v>
      </c>
      <c r="D31"/>
      <c r="E31" s="120">
        <v>0</v>
      </c>
      <c r="F31" s="121">
        <v>6308</v>
      </c>
      <c r="G31" s="120">
        <f>-M31</f>
        <v>4262</v>
      </c>
      <c r="H31" s="121">
        <v>0</v>
      </c>
      <c r="I31" s="120">
        <v>0</v>
      </c>
      <c r="J31" s="121">
        <v>0</v>
      </c>
      <c r="K31" s="120">
        <v>0</v>
      </c>
      <c r="L31" s="121">
        <v>-6308</v>
      </c>
      <c r="M31" s="120">
        <f>-ROUND(M30*5%,0)</f>
        <v>-4262</v>
      </c>
      <c r="N31" s="121">
        <v>0</v>
      </c>
      <c r="O31" s="100">
        <f>SUM(M31+K31+I31+G31+E31)</f>
        <v>0</v>
      </c>
      <c r="T31" s="126"/>
    </row>
    <row r="32" spans="2:23" ht="15" customHeight="1">
      <c r="B32" s="122"/>
      <c r="C32" s="76" t="s">
        <v>100</v>
      </c>
      <c r="E32" s="120">
        <v>0</v>
      </c>
      <c r="F32" s="121">
        <v>0</v>
      </c>
      <c r="G32" s="120">
        <v>0</v>
      </c>
      <c r="H32" s="121">
        <v>39018</v>
      </c>
      <c r="I32" s="120">
        <f>-M32</f>
        <v>46633</v>
      </c>
      <c r="J32" s="121">
        <v>0</v>
      </c>
      <c r="K32" s="120">
        <v>0</v>
      </c>
      <c r="L32" s="121">
        <v>-39018</v>
      </c>
      <c r="M32" s="120">
        <f>-46633</f>
        <v>-46633</v>
      </c>
      <c r="N32" s="121">
        <v>0</v>
      </c>
      <c r="O32" s="100">
        <f>SUM(M32+K32+I32+G32+E32)</f>
        <v>0</v>
      </c>
    </row>
    <row r="33" spans="2:22" ht="15" customHeight="1">
      <c r="B33" s="122"/>
      <c r="C33" s="71" t="s">
        <v>101</v>
      </c>
      <c r="D33"/>
      <c r="E33" s="120">
        <v>0</v>
      </c>
      <c r="F33" s="121">
        <v>0</v>
      </c>
      <c r="G33" s="120">
        <v>0</v>
      </c>
      <c r="H33" s="121">
        <v>0</v>
      </c>
      <c r="I33" s="120">
        <v>0</v>
      </c>
      <c r="J33" s="121">
        <v>80843.834950000077</v>
      </c>
      <c r="K33" s="120">
        <f>-M33</f>
        <v>34347.915689999951</v>
      </c>
      <c r="L33" s="121">
        <v>-80843.834950000077</v>
      </c>
      <c r="M33" s="120">
        <f>-SUM(M30:M32)</f>
        <v>-34347.915689999951</v>
      </c>
      <c r="N33" s="121"/>
      <c r="O33" s="100">
        <f>SUM(M33+K33+I33+G33+E33)</f>
        <v>0</v>
      </c>
    </row>
    <row r="34" spans="2:22" ht="18" customHeight="1">
      <c r="B34" s="122"/>
      <c r="C34" s="27"/>
      <c r="E34" s="90"/>
      <c r="F34" s="90"/>
      <c r="G34" s="90"/>
      <c r="H34" s="90"/>
      <c r="I34" s="90"/>
      <c r="J34" s="90"/>
      <c r="K34" s="107"/>
      <c r="L34" s="90"/>
      <c r="M34" s="127"/>
      <c r="N34" s="128"/>
      <c r="O34" s="129"/>
    </row>
    <row r="35" spans="2:22" ht="15" customHeight="1" thickBot="1">
      <c r="B35" s="130">
        <v>45657</v>
      </c>
      <c r="C35" s="3" t="s">
        <v>106</v>
      </c>
      <c r="D35" s="3"/>
      <c r="E35" s="124">
        <f>SUM(E28:E33)</f>
        <v>370668.39179999998</v>
      </c>
      <c r="F35" s="104">
        <f>SUM(F21:F33)</f>
        <v>12616</v>
      </c>
      <c r="G35" s="124">
        <f>SUM(G28:G33)</f>
        <v>43299.61189</v>
      </c>
      <c r="H35" s="104">
        <f>SUM(H21:H33)</f>
        <v>78036</v>
      </c>
      <c r="I35" s="124">
        <f>SUM(I28:I33)</f>
        <v>117089.13771</v>
      </c>
      <c r="J35" s="116">
        <f>SUM(J21:J33)</f>
        <v>404219.17475000035</v>
      </c>
      <c r="K35" s="124">
        <f>SUM(K28:K33)</f>
        <v>429542.23043</v>
      </c>
      <c r="L35" s="104">
        <f>SUM(L21:L33)</f>
        <v>0</v>
      </c>
      <c r="M35" s="124">
        <f>SUM(M28:M33)</f>
        <v>0</v>
      </c>
      <c r="N35" s="104"/>
      <c r="O35" s="124">
        <f>SUM(O28:O33)</f>
        <v>960598.75063999998</v>
      </c>
    </row>
    <row r="36" spans="2:22" ht="15" customHeight="1" thickTop="1">
      <c r="B36" s="130"/>
      <c r="C36" s="3"/>
      <c r="D36" s="3"/>
      <c r="E36" s="131"/>
      <c r="F36" s="104"/>
      <c r="G36" s="131"/>
      <c r="H36" s="104"/>
      <c r="I36" s="131"/>
      <c r="J36" s="116"/>
      <c r="K36" s="131"/>
      <c r="L36" s="104"/>
      <c r="M36" s="131"/>
      <c r="N36" s="104"/>
      <c r="O36" s="131"/>
    </row>
    <row r="37" spans="2:22" ht="15" customHeight="1">
      <c r="C37" s="3" t="s">
        <v>43</v>
      </c>
      <c r="D37" s="3"/>
      <c r="E37" s="116"/>
      <c r="F37" s="104"/>
      <c r="G37" s="116"/>
      <c r="H37" s="104"/>
      <c r="I37" s="117"/>
      <c r="J37" s="116"/>
      <c r="K37" s="116"/>
      <c r="L37" s="104"/>
      <c r="M37" s="118"/>
      <c r="N37" s="104"/>
      <c r="O37" s="100"/>
    </row>
    <row r="38" spans="2:22" ht="15" hidden="1" customHeight="1">
      <c r="C38" s="54" t="s">
        <v>43</v>
      </c>
      <c r="D38" s="54"/>
      <c r="E38" s="54"/>
      <c r="F38" s="54"/>
      <c r="G38" s="54"/>
      <c r="H38" s="169"/>
      <c r="I38" s="169"/>
      <c r="J38" s="170"/>
      <c r="K38" s="170"/>
      <c r="L38" s="170"/>
      <c r="M38" s="171"/>
      <c r="N38" s="171"/>
      <c r="O38" s="172"/>
      <c r="T38" s="11"/>
      <c r="U38" s="119"/>
    </row>
    <row r="39" spans="2:22" ht="15" customHeight="1">
      <c r="C39" s="139"/>
      <c r="D39" s="145"/>
      <c r="E39" s="156"/>
      <c r="F39" s="145"/>
      <c r="G39" s="145"/>
      <c r="H39" s="145"/>
      <c r="I39" s="105"/>
      <c r="J39" s="145"/>
      <c r="K39" s="156"/>
      <c r="L39" s="145"/>
      <c r="M39" s="145"/>
      <c r="N39" s="145"/>
      <c r="O39" s="78"/>
      <c r="P39" s="145"/>
      <c r="T39" s="105"/>
      <c r="U39" s="105"/>
      <c r="V39" s="9"/>
    </row>
    <row r="40" spans="2:22" ht="15" customHeight="1">
      <c r="C40" s="139"/>
      <c r="D40" s="145"/>
      <c r="E40" s="156"/>
      <c r="F40" s="145"/>
      <c r="G40" s="173"/>
      <c r="H40" s="145"/>
      <c r="I40" s="105"/>
      <c r="J40" s="145"/>
      <c r="K40" s="156"/>
      <c r="L40" s="145"/>
      <c r="M40" s="145"/>
      <c r="N40" s="145"/>
      <c r="O40" s="78"/>
      <c r="P40" s="145"/>
      <c r="T40" s="105"/>
      <c r="U40" s="105"/>
      <c r="V40" s="9"/>
    </row>
    <row r="41" spans="2:22" ht="15" customHeight="1"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5"/>
      <c r="P41" s="145"/>
    </row>
    <row r="42" spans="2:22" ht="15" customHeight="1"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7"/>
      <c r="P42" s="145"/>
    </row>
    <row r="43" spans="2:22" ht="15" customHeight="1"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0"/>
      <c r="P43" s="145"/>
      <c r="S43" s="101"/>
    </row>
    <row r="44" spans="2:22" ht="15" customHeight="1">
      <c r="O44" s="1"/>
      <c r="T44" s="5"/>
      <c r="U44" s="9"/>
    </row>
    <row r="45" spans="2:22" ht="15" customHeight="1">
      <c r="O45" s="1"/>
      <c r="T45" s="5"/>
    </row>
    <row r="46" spans="2:22" ht="15" customHeight="1">
      <c r="O46" s="1"/>
      <c r="R46" s="100"/>
      <c r="S46" s="100"/>
      <c r="T46" s="100"/>
      <c r="U46" s="100"/>
      <c r="V46" s="100"/>
    </row>
    <row r="47" spans="2:22" ht="15" customHeight="1">
      <c r="O47" s="1"/>
      <c r="T47" s="132"/>
    </row>
    <row r="48" spans="2:22" ht="15" customHeight="1">
      <c r="O48" s="1"/>
      <c r="R48" s="9"/>
    </row>
    <row r="49" spans="15:20" ht="15" customHeight="1">
      <c r="O49" s="1"/>
      <c r="T49" s="11"/>
    </row>
    <row r="50" spans="15:20" ht="15" customHeight="1">
      <c r="O50" s="1"/>
    </row>
  </sheetData>
  <mergeCells count="1">
    <mergeCell ref="G8:K8"/>
  </mergeCells>
  <printOptions horizontalCentered="1"/>
  <pageMargins left="0.78740157480314965" right="0.51181102362204722" top="1.4960629921259843" bottom="0.78740157480314965" header="0.19685039370078741" footer="0.31496062992125984"/>
  <pageSetup paperSize="9" scale="91" fitToWidth="0" orientation="landscape" r:id="rId1"/>
  <headerFooter>
    <oddHeader>&amp;C&amp;G</oddHeader>
    <oddFooter>&amp;R&amp;P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BP</vt:lpstr>
      <vt:lpstr>DRE </vt:lpstr>
      <vt:lpstr>DMPL</vt:lpstr>
      <vt:lpstr>BP!Area_de_impressao</vt:lpstr>
      <vt:lpstr>DMPL!Area_de_impressao</vt:lpstr>
      <vt:lpstr>'DRE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Mafra</dc:creator>
  <cp:lastModifiedBy>Alessandra Mafra</cp:lastModifiedBy>
  <dcterms:created xsi:type="dcterms:W3CDTF">2025-06-05T19:03:40Z</dcterms:created>
  <dcterms:modified xsi:type="dcterms:W3CDTF">2025-06-05T19:12:17Z</dcterms:modified>
</cp:coreProperties>
</file>